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ZVwmhJctz77Q5cmQ40ZVrD2lIDEaVBuCXp0XpKcZNsWX3/f625dDQYFF0PtsRYEOoGqia9ymkbFLLWg28GY9MQ==" workbookSaltValue="XEN31aTOR0qDQsgqMiksSA==" workbookSpinCount="100000" lockStructure="1"/>
  <bookViews>
    <workbookView xWindow="-120" yWindow="-120" windowWidth="29040" windowHeight="15840"/>
  </bookViews>
  <sheets>
    <sheet name="Mon Entreprise" sheetId="1" r:id="rId1"/>
    <sheet name="Mes Aides" sheetId="3" r:id="rId2"/>
    <sheet name="Explication des Calculs" sheetId="4" r:id="rId3"/>
    <sheet name="Annexes" sheetId="2"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9" i="1" l="1"/>
  <c r="F79" i="1"/>
  <c r="AB117" i="4" l="1"/>
  <c r="AB116" i="4"/>
  <c r="AB115" i="4"/>
  <c r="AB114" i="4"/>
  <c r="AB106" i="4"/>
  <c r="AE102" i="4"/>
  <c r="AB102" i="4"/>
  <c r="Y102" i="4"/>
  <c r="AB83" i="4"/>
  <c r="AB82" i="4"/>
  <c r="AB81" i="4"/>
  <c r="AE77" i="4"/>
  <c r="AB77" i="4"/>
  <c r="Y77" i="4"/>
  <c r="AE76" i="4"/>
  <c r="AB76" i="4"/>
  <c r="Y76" i="4"/>
  <c r="AE75" i="4"/>
  <c r="AB75" i="4"/>
  <c r="Y75" i="4"/>
  <c r="E74" i="4"/>
  <c r="D73" i="4"/>
  <c r="D46" i="4"/>
  <c r="AB45" i="4"/>
  <c r="D51" i="4" s="1"/>
  <c r="AB43" i="4"/>
  <c r="AB42" i="4"/>
  <c r="AE37" i="4"/>
  <c r="AB37" i="4"/>
  <c r="Y37" i="4"/>
  <c r="AB26" i="4"/>
  <c r="AB25" i="4"/>
  <c r="AB24" i="4"/>
  <c r="D24" i="4" s="1"/>
  <c r="E21" i="4"/>
  <c r="AE20" i="4"/>
  <c r="AB20" i="4"/>
  <c r="Y20" i="4"/>
  <c r="D20" i="4"/>
  <c r="AE19" i="4"/>
  <c r="AB19" i="4"/>
  <c r="Y19" i="4"/>
  <c r="D75" i="4" l="1"/>
  <c r="AB84" i="4"/>
  <c r="D77" i="4" s="1"/>
  <c r="AB55" i="4"/>
  <c r="AC47" i="2"/>
  <c r="AB117" i="3"/>
  <c r="AB116" i="3"/>
  <c r="AB115" i="3"/>
  <c r="AB114" i="3"/>
  <c r="AB106" i="3"/>
  <c r="AE102" i="3"/>
  <c r="AB102" i="3"/>
  <c r="Y102" i="3"/>
  <c r="AB83" i="3"/>
  <c r="AB82" i="3"/>
  <c r="AB81" i="3"/>
  <c r="AE77" i="3"/>
  <c r="AB77" i="3"/>
  <c r="Y77" i="3"/>
  <c r="AE76" i="3"/>
  <c r="AB76" i="3"/>
  <c r="Y76" i="3"/>
  <c r="AE75" i="3"/>
  <c r="AB75" i="3"/>
  <c r="Y75" i="3"/>
  <c r="E74" i="3"/>
  <c r="D73" i="3"/>
  <c r="D46" i="3"/>
  <c r="AB45" i="3"/>
  <c r="AB43" i="3"/>
  <c r="AB42" i="3"/>
  <c r="AE37" i="3"/>
  <c r="AB37" i="3"/>
  <c r="Y37" i="3"/>
  <c r="AB26" i="3"/>
  <c r="AB25" i="3"/>
  <c r="AB24" i="3"/>
  <c r="E21" i="3"/>
  <c r="AE20" i="3"/>
  <c r="AB20" i="3"/>
  <c r="Y20" i="3"/>
  <c r="D20" i="3"/>
  <c r="AE19" i="3"/>
  <c r="AB19" i="3"/>
  <c r="Y19" i="3"/>
  <c r="I85" i="1"/>
  <c r="AB21" i="3" s="1"/>
  <c r="F85" i="1"/>
  <c r="N83" i="1"/>
  <c r="E83" i="1"/>
  <c r="E82" i="1"/>
  <c r="E81" i="1"/>
  <c r="I78" i="1"/>
  <c r="F78" i="1"/>
  <c r="I77" i="1"/>
  <c r="F77" i="1"/>
  <c r="N75" i="1"/>
  <c r="E75" i="1"/>
  <c r="E73" i="1"/>
  <c r="I70" i="1"/>
  <c r="F70" i="1"/>
  <c r="N68" i="1"/>
  <c r="E68" i="1"/>
  <c r="E66" i="1"/>
  <c r="J62" i="1"/>
  <c r="E56" i="1"/>
  <c r="N55" i="1"/>
  <c r="E55" i="1"/>
  <c r="E53" i="1"/>
  <c r="N52" i="1"/>
  <c r="E52" i="1"/>
  <c r="I46" i="1"/>
  <c r="F46" i="1"/>
  <c r="E45" i="1"/>
  <c r="J44" i="1"/>
  <c r="E19" i="1"/>
  <c r="AB57" i="4" l="1"/>
  <c r="D24" i="3"/>
  <c r="AB57" i="3"/>
  <c r="AE21" i="4"/>
  <c r="AB21" i="4"/>
  <c r="Y21" i="4"/>
  <c r="Y21" i="3"/>
  <c r="AE21" i="3"/>
  <c r="AE103" i="4"/>
  <c r="AE38" i="4"/>
  <c r="Y38" i="4"/>
  <c r="AB103" i="4"/>
  <c r="AB38" i="4"/>
  <c r="Y103" i="4"/>
  <c r="AB55" i="3"/>
  <c r="Y104" i="4"/>
  <c r="Y39" i="4"/>
  <c r="AB39" i="4"/>
  <c r="AE104" i="4"/>
  <c r="AE39" i="4"/>
  <c r="AB104" i="4"/>
  <c r="AB27" i="3"/>
  <c r="D22" i="3"/>
  <c r="D75" i="3"/>
  <c r="AB39" i="3"/>
  <c r="AE39" i="3"/>
  <c r="AB104" i="3"/>
  <c r="AE104" i="3"/>
  <c r="D51" i="3"/>
  <c r="I62" i="1"/>
  <c r="Y39" i="3"/>
  <c r="Y104" i="3"/>
  <c r="AB84" i="3"/>
  <c r="D77" i="3" s="1"/>
  <c r="AE38" i="3"/>
  <c r="AB103" i="3"/>
  <c r="AB118" i="3" s="1"/>
  <c r="AE103" i="3"/>
  <c r="Y38" i="3"/>
  <c r="AB38" i="3"/>
  <c r="Y103" i="3"/>
  <c r="D49" i="4" l="1"/>
  <c r="D22" i="4"/>
  <c r="AB27" i="4"/>
  <c r="AB46" i="3"/>
  <c r="AB50" i="3"/>
  <c r="AB107" i="4"/>
  <c r="AB118" i="4"/>
  <c r="D98" i="4"/>
  <c r="AB119" i="4"/>
  <c r="AB121" i="4"/>
  <c r="D110" i="4"/>
  <c r="AB108" i="4"/>
  <c r="AB113" i="3"/>
  <c r="AB113" i="4"/>
  <c r="D111" i="4" s="1"/>
  <c r="AB41" i="4"/>
  <c r="AB46" i="4"/>
  <c r="D62" i="4"/>
  <c r="AB50" i="4"/>
  <c r="AB47" i="4"/>
  <c r="D110" i="3"/>
  <c r="AB108" i="3"/>
  <c r="AB121" i="3"/>
  <c r="D98" i="3"/>
  <c r="AB41" i="3"/>
  <c r="D47" i="3" s="1"/>
  <c r="AB107" i="3"/>
  <c r="AB119" i="3"/>
  <c r="AB47" i="3"/>
  <c r="D62" i="3"/>
  <c r="D49" i="3"/>
  <c r="AB124" i="3" l="1"/>
  <c r="AB120" i="3"/>
  <c r="AB122" i="3" s="1"/>
  <c r="D111" i="3"/>
  <c r="AB49" i="3"/>
  <c r="AB51" i="3" s="1"/>
  <c r="D63" i="3"/>
  <c r="D63" i="4"/>
  <c r="D100" i="4"/>
  <c r="AB124" i="4"/>
  <c r="D60" i="4"/>
  <c r="AB49" i="4"/>
  <c r="AB48" i="4"/>
  <c r="AB44" i="4"/>
  <c r="D47" i="4"/>
  <c r="E108" i="3"/>
  <c r="AB120" i="4"/>
  <c r="AB122" i="4" s="1"/>
  <c r="E108" i="4"/>
  <c r="D100" i="3"/>
  <c r="AB44" i="3"/>
  <c r="D60" i="3"/>
  <c r="AB48" i="3"/>
  <c r="AB125" i="3" l="1"/>
  <c r="D90" i="3" s="1"/>
  <c r="D113" i="3"/>
  <c r="D65" i="4"/>
  <c r="AB125" i="4"/>
  <c r="D90" i="4" s="1"/>
  <c r="AB51" i="4"/>
  <c r="AB56" i="3"/>
  <c r="D37" i="3" s="1"/>
  <c r="AB56" i="4"/>
  <c r="D37" i="4" s="1"/>
  <c r="D113" i="4"/>
  <c r="D65" i="3"/>
</calcChain>
</file>

<file path=xl/sharedStrings.xml><?xml version="1.0" encoding="utf-8"?>
<sst xmlns="http://schemas.openxmlformats.org/spreadsheetml/2006/main" count="529" uniqueCount="251">
  <si>
    <t>Annexe 1 :</t>
  </si>
  <si>
    <t>Téléphériques et remontées mécaniques</t>
  </si>
  <si>
    <t>Hôtels et hébergement similaire</t>
  </si>
  <si>
    <t>Hébergement touristique et autre hébergement de courte durée</t>
  </si>
  <si>
    <t>Terrains de camping et parcs pour caravanes ou véhicules de loisirs</t>
  </si>
  <si>
    <t>Restauration traditionnelle</t>
  </si>
  <si>
    <t>Cafétérias et autres libres-services</t>
  </si>
  <si>
    <t>Restauration de type rapide</t>
  </si>
  <si>
    <t>Services de restauration collective sous contrat, de cantines et restaurants d'entreprise</t>
  </si>
  <si>
    <t>Services des traiteurs</t>
  </si>
  <si>
    <t>Débits de boissons</t>
  </si>
  <si>
    <t>Projection de films cinématographiques et autres industries techniques du cinéma et de l'image animée</t>
  </si>
  <si>
    <t>Post-production de films cinématographiques, de vidéo et de programmes de télévision</t>
  </si>
  <si>
    <t>Distribution de films cinématographiques</t>
  </si>
  <si>
    <t>Location et location-bail d'articles de loisirs et de sport</t>
  </si>
  <si>
    <t>Activités des agences de voyage</t>
  </si>
  <si>
    <t>Activités des voyagistes</t>
  </si>
  <si>
    <t>Autres services de réservation et activités connexes</t>
  </si>
  <si>
    <t>Organisation de foires, évènements publics ou privés, salons ou séminaires professionnels, congrès</t>
  </si>
  <si>
    <t>Agences de mannequins</t>
  </si>
  <si>
    <t>Entreprises de détaxe et bureaux de change (changeurs manuels)</t>
  </si>
  <si>
    <t>Enseignement de disciplines sportives et d'activités de loisirs</t>
  </si>
  <si>
    <t>Arts du spectacle vivant</t>
  </si>
  <si>
    <t>Activités de soutien au spectacle vivant</t>
  </si>
  <si>
    <t>Création artistique relevant des arts plastiques</t>
  </si>
  <si>
    <t>Galeries d'art</t>
  </si>
  <si>
    <t>Artistes auteurs</t>
  </si>
  <si>
    <t>Gestion de salles de spectacles et production de spectacles</t>
  </si>
  <si>
    <t>Gestion des musées</t>
  </si>
  <si>
    <t>Guides conférenciers</t>
  </si>
  <si>
    <t>Gestion des sites et monuments historiques et des attractions touristiques similaires</t>
  </si>
  <si>
    <t>Gestion des jardins botaniques et zoologiques et des réserves naturelles</t>
  </si>
  <si>
    <t>Gestion d'installations sportives</t>
  </si>
  <si>
    <t>Activités de clubs de sports</t>
  </si>
  <si>
    <t>Activité des centres de culture physique</t>
  </si>
  <si>
    <t>Autres activités liées au sport</t>
  </si>
  <si>
    <t>Autres activités récréatives et de loisirs</t>
  </si>
  <si>
    <t>Exploitations de casinos</t>
  </si>
  <si>
    <t>Entretien corporel</t>
  </si>
  <si>
    <t>Trains et chemins de fer touristiques</t>
  </si>
  <si>
    <t>Transport transmanche</t>
  </si>
  <si>
    <t>Transport aérien de passagers</t>
  </si>
  <si>
    <t>Transport de passagers sur les fleuves, les canaux, les lacs, location de bateaux de plaisance</t>
  </si>
  <si>
    <t>Transport maritime et côtier de passagers</t>
  </si>
  <si>
    <t>Production de films et de programmes pour la télévision</t>
  </si>
  <si>
    <t>Production de films institutionnels et publicitaires</t>
  </si>
  <si>
    <t>Production de films pour le cinéma</t>
  </si>
  <si>
    <t>Activités photographiques</t>
  </si>
  <si>
    <t>Enseignement culturel</t>
  </si>
  <si>
    <t>Annexe 2 :</t>
  </si>
  <si>
    <t>Culture de plantes à boissons</t>
  </si>
  <si>
    <t>Culture de la vigne</t>
  </si>
  <si>
    <t>Pêche en mer</t>
  </si>
  <si>
    <t>Pêche en eau douce</t>
  </si>
  <si>
    <t>Aquaculture en mer</t>
  </si>
  <si>
    <t>Aquaculture en eau douce</t>
  </si>
  <si>
    <t>Production de boissons alcooliques distillées</t>
  </si>
  <si>
    <t>Fabrication de vins effervescents</t>
  </si>
  <si>
    <t>Vinification</t>
  </si>
  <si>
    <t>Fabrication de cidre et de vins de fruits</t>
  </si>
  <si>
    <t>Production d'autres boissons fermentées non distillées</t>
  </si>
  <si>
    <t>Fabrication de bière</t>
  </si>
  <si>
    <t>Production de fromages sous appellation d'origine protégée ou indication géographique protégée</t>
  </si>
  <si>
    <t>Fabrication de malt</t>
  </si>
  <si>
    <t>Centrales d'achat alimentaires</t>
  </si>
  <si>
    <t>Autres intermédiaires du commerce en denrées et boissons</t>
  </si>
  <si>
    <t>Commerce de gros de fruits et légumes</t>
  </si>
  <si>
    <t>Herboristerie/ horticulture/ commerce de gros de fleurs et plans</t>
  </si>
  <si>
    <t>Commerce de gros de produits laitiers, œufs, huiles et matières grasses comestibles</t>
  </si>
  <si>
    <t>Commerce de gros de boissons</t>
  </si>
  <si>
    <t>Mareyage et commerce de gros de poissons, coquillages, crustacés</t>
  </si>
  <si>
    <t>Commerce de gros alimentaire spécialisé divers</t>
  </si>
  <si>
    <t>Commerce de gros de produits surgelés</t>
  </si>
  <si>
    <t>Commerce de gros alimentaire</t>
  </si>
  <si>
    <t>Commerce de gros non spécialisé</t>
  </si>
  <si>
    <t>Commerce de gros de textiles</t>
  </si>
  <si>
    <t>Intermédiaires spécialisés dans le commerce d'autres produits spécifiques</t>
  </si>
  <si>
    <t>Commerce de gros d'habillement et de chaussures</t>
  </si>
  <si>
    <t>Commerce de gros d'autres biens domestiques</t>
  </si>
  <si>
    <t>Commerce de gros de vaisselle, verrerie et produits d'entretien</t>
  </si>
  <si>
    <t>Commerce de gros de fournitures et équipements divers pour le commerce et les services</t>
  </si>
  <si>
    <t>Blanchisserie-teinturerie de gros</t>
  </si>
  <si>
    <t>Stations-service</t>
  </si>
  <si>
    <t>Enregistrement sonore et édition musicale</t>
  </si>
  <si>
    <t>Editeurs de livres</t>
  </si>
  <si>
    <t>Services auxiliaires des transports aériens</t>
  </si>
  <si>
    <t>Services auxiliaires de transport par eau</t>
  </si>
  <si>
    <t>Boutique des galeries marchandes et des aéroports</t>
  </si>
  <si>
    <t>Magasins de souvenirs et de piété</t>
  </si>
  <si>
    <t>Autres métiers d'art</t>
  </si>
  <si>
    <t>Paris sportifs</t>
  </si>
  <si>
    <t>Activités liées à la production de matrices sonores originales, sur bandes, cassettes, CD, la mise à disposition des enregistrements, leur promotion et leur distribution</t>
  </si>
  <si>
    <t>Jour en Septembre</t>
  </si>
  <si>
    <t>Jour en Octobre</t>
  </si>
  <si>
    <t>Perte de chiffre d'affaire entre le 15/03/2020 et le 15/05/2020 :</t>
  </si>
  <si>
    <t>Date pour les créations d'entreprise</t>
  </si>
  <si>
    <t>Plafond :</t>
  </si>
  <si>
    <t>CA de référence</t>
  </si>
  <si>
    <t xml:space="preserve"> </t>
  </si>
  <si>
    <t>L'activité est mentionnées en annexe 1 :</t>
  </si>
  <si>
    <t>L'activité est mentionnées en annexe 2 :</t>
  </si>
  <si>
    <t>Septembre</t>
  </si>
  <si>
    <t>Octobre</t>
  </si>
  <si>
    <t>Fermeture Administrative</t>
  </si>
  <si>
    <t>Nb de jour de fermeture Administrative</t>
  </si>
  <si>
    <t>Nom de l'entreprise :</t>
  </si>
  <si>
    <t>Date de création de l'entreprise :</t>
  </si>
  <si>
    <t>Exercice 2019</t>
  </si>
  <si>
    <t>Exercice 2020</t>
  </si>
  <si>
    <t>- Octobre :</t>
  </si>
  <si>
    <t>- Novembre :</t>
  </si>
  <si>
    <t>- Du 15 Mars au 15 Mai :</t>
  </si>
  <si>
    <t>Aides du fonds de solidarité du mois de Septembre :</t>
  </si>
  <si>
    <t>Calculs des pertes de CA selon :</t>
  </si>
  <si>
    <t>De septembre 2019 :</t>
  </si>
  <si>
    <t>En cas de création :</t>
  </si>
  <si>
    <t>Perte en €</t>
  </si>
  <si>
    <t>Perte en %</t>
  </si>
  <si>
    <t>De l'exercice 2019  :</t>
  </si>
  <si>
    <t>Ces aides prévues au articles 3-10, 3-11 et 3-12 ne sont pas cumulables au titre du mois d'octobre 2020</t>
  </si>
  <si>
    <t>Pré-requis pour les entreprises nouvelles : avoir débuté son activité avant le 30 Septembre 2020</t>
  </si>
  <si>
    <t>De octobre 2019 :</t>
  </si>
  <si>
    <t>* Fermeture administrative du 25 au 30 Septembre 2020 :</t>
  </si>
  <si>
    <t>D'octobre 2019 :</t>
  </si>
  <si>
    <t>Aides du fonds de solidarité du mois de Novembre :</t>
  </si>
  <si>
    <t>Aides du fonds de solidarité du mois d'Octobre :</t>
  </si>
  <si>
    <t xml:space="preserve">Zone de calcul à masquer </t>
  </si>
  <si>
    <t xml:space="preserve">(Sauf Septembre pour les seuls secteurs figurant en Annexes 1 &amp; 2 dans la version au 30/09/2020 du décret 2020-371 du 30 Mars 2020) </t>
  </si>
  <si>
    <t>Ces aides prévues aux articles 3-10, 3-11 et 3-12 ne sont pas cumulables au titre du mois d'octobre 2020.</t>
  </si>
  <si>
    <t>- Encaissé pour les BNC (sauf option Créances-Dettes)</t>
  </si>
  <si>
    <r>
      <t xml:space="preserve">Activités des parcs d'attractions, </t>
    </r>
    <r>
      <rPr>
        <sz val="9"/>
        <color rgb="FF5B9BD5"/>
        <rFont val="DIN Light"/>
      </rPr>
      <t xml:space="preserve">fêtes foraines </t>
    </r>
    <r>
      <rPr>
        <sz val="9"/>
        <color theme="1"/>
        <rFont val="DIN Light"/>
      </rPr>
      <t>et parcs à thèmes</t>
    </r>
  </si>
  <si>
    <t>Commerce de détail en magasin situé dans une zone touristique internationale mentionnée à l'article L. 3132-24 du code du travail, à l'exception du commerce alimentaire ou à prédominance alimentaire (hors commerce de boissons en magasin spécialisé), du commerce d'automobiles, de motocyles, de carburants, de charbons et combustibles, d'équipements du foyer, d'articles médicaux et orthopédiques et de fleurs, plantes, graines, engrais, animaux de compagnie et aliments pour ces animaux</t>
  </si>
  <si>
    <t>de 2 a 60</t>
  </si>
  <si>
    <t>de 2 à 86</t>
  </si>
  <si>
    <t>(new*) Conseil et assistance opérationnelle apportés aux entreprises et aux autres organisations de distribution de films cinématographiques en matière de relations publiques et de communication</t>
  </si>
  <si>
    <t>(new*) Transports routiers réguliers de voyageurs</t>
  </si>
  <si>
    <t>(new*) Autres transports routiers de voyageurs</t>
  </si>
  <si>
    <t>(new*) Traducteurs-interprètes</t>
  </si>
  <si>
    <t>(new*) Prestation et location de chapiteaux, tentes, structures, sonorisation, photographie, lumière et pyrotechnie</t>
  </si>
  <si>
    <t>(new*) Transports de voyageurs par taxis et véhicules de tourisme avec chauffeur</t>
  </si>
  <si>
    <t>(new*) Location de courte durée de voitures et de véhicules automobiles légers</t>
  </si>
  <si>
    <t>(new*) Fabrication de structures métalliques et de parties de structures</t>
  </si>
  <si>
    <t>(new*) Régie publicitaire de médias</t>
  </si>
  <si>
    <t>(new*) Accueils collectifs de mineurs en hébergement touristique</t>
  </si>
  <si>
    <t>(new*)  Tourisme de savoir-faire : entreprises réalisant des ventes directement sur leur site de production aux visiteurs et qui ont obtenu le label : “ entreprise du patrimoine vivant ” en application du décret n° 2006-595 du 23 mai 2006 relatif à l'attribution du label “ entreprise du patrimoine vivant ” ou qui sont titulaires de la marque d'Etat “ Qualité TourismeTM ” au titre de la visite d'entreprise ou qui utilisent des savoir-faire inscrits sur la liste représentative du patrimoine culturel immatériel de l'humanité prévue par la convention pour la sauvegarde du patrimoine culturel immatériel adoptée à Paris le 17 octobre 2003, dans la catégorie des « savoir-faire liés à l'artisanat traditionnel</t>
  </si>
  <si>
    <t>(new*) Activités de sécurité privée</t>
  </si>
  <si>
    <t>(new*) Nettoyage courant des bâtiments</t>
  </si>
  <si>
    <t>(new*) Autres activités de nettoyage des bâtiments et nettoyage industriel</t>
  </si>
  <si>
    <t>(new*) Fabrication de foie gras</t>
  </si>
  <si>
    <t>(new*) Préparation à caractère artisanal de produits de charcuterie</t>
  </si>
  <si>
    <t>(new*) Pâtisserie</t>
  </si>
  <si>
    <t>(new*) Commerce de détail de viandes et de produits à base de viande en magasin spécialisé</t>
  </si>
  <si>
    <t>(new*) Commerce de détail de viande, produits à base de viandes sur éventaires et marchés</t>
  </si>
  <si>
    <t>(new*) Fabrication de vêtements de travail</t>
  </si>
  <si>
    <t>(new*) Reproduction d'enregistrements</t>
  </si>
  <si>
    <t>(new*) Fabrication de verre creux</t>
  </si>
  <si>
    <t>(new*) Fabrication d'articles céramiques à usage domestique ou ornemental</t>
  </si>
  <si>
    <t>(new*) Fabrication de coutellerie</t>
  </si>
  <si>
    <t>(new*) Fabrication d'articles métalliques ménagers</t>
  </si>
  <si>
    <t>(new*) Fabrication d'appareils ménagers non électriques</t>
  </si>
  <si>
    <t>(new*) Fabrication d'appareils d'éclairage électrique</t>
  </si>
  <si>
    <t>(new*) Travaux d'installation électrique dans tous locaux</t>
  </si>
  <si>
    <t>(new*) Aménagement de lieux de vente</t>
  </si>
  <si>
    <t>(new*) Commerce de détail de fleurs, en pot ou coupées, de compositions florales, de plantes et de graines</t>
  </si>
  <si>
    <t>(new*) Commerce de détail de livres sur éventaires et marchés</t>
  </si>
  <si>
    <t>(new*) Courtier en assurance voyage</t>
  </si>
  <si>
    <t>(new*) Location et exploitation d'immeubles non résidentiels de réception</t>
  </si>
  <si>
    <t>(new*) Conseil en relations publiques et communication</t>
  </si>
  <si>
    <t>(new*) Activités des agences de publicité</t>
  </si>
  <si>
    <t>(new*) Activités spécialisées de design</t>
  </si>
  <si>
    <t>(new*) Activités spécialisées, scientifiques et techniques diverses</t>
  </si>
  <si>
    <t>(new*) Services administratifs d'assistance à la demande de visas</t>
  </si>
  <si>
    <t>(new*) Autre création artistique</t>
  </si>
  <si>
    <t>(new*) Blanchisserie-teinturerie de détail</t>
  </si>
  <si>
    <t>(new*) Construction de maisons mobiles pour les terrains de camping</t>
  </si>
  <si>
    <t>(new*) Fabrication de vêtements de cérémonie, d'accessoires de ganterie et de chapellerie et de costumes pour les grands évènements</t>
  </si>
  <si>
    <t>(new*) Vente par automate</t>
  </si>
  <si>
    <t>(new*) Commerce de gros de viandes et de produits à base de viande</t>
  </si>
  <si>
    <t>(new*) Activités des agences de placement de main-d'œuvre</t>
  </si>
  <si>
    <t>(new*) Garde d'animaux de compagnie avec ou sans hébergement</t>
  </si>
  <si>
    <t>(new*) Fabrication de dentelle et broderie</t>
  </si>
  <si>
    <t>(new*) Couturiers</t>
  </si>
  <si>
    <t>(new*) Entreprises artisanales réalisant au moins 50 % de leur chiffre d'affaires par la vente de leurs produits ou services sur les foires et salons</t>
  </si>
  <si>
    <t>(new*) Métiers graphiques, métiers d'édition spécifique, de communication et de conception de stands et d'espaces éphémères réalisant au moins 50 % de leur chiffre d'affaires avec une ou des entreprises du secteur de l'organisation de foires, d'évènements publics ou privés, de salons ou séminaires professionnels ou de congrès</t>
  </si>
  <si>
    <t>(new*) Fabrication et distribution de matériels scéniques, audiovisuels et évènementiels</t>
  </si>
  <si>
    <t>(new*) Prestation de services spécialisés dans l'aménagement et l'agencement des stands et lieux lorsque au moins 50 % du chiffre d'affaires est réalisé avec une ou des entreprises du secteur de la production de spectacles, l'organisation de foires, d'évènements publics ou privés, de salons ou séminaires professionnels ou de congrès</t>
  </si>
  <si>
    <t>Pré-requis pour les entreprises nouvelles : avoir débuté son activité avant le 31 Août 2020</t>
  </si>
  <si>
    <t>* champs obligatoires (sauf si 0 €)</t>
  </si>
  <si>
    <t>Notice :</t>
  </si>
  <si>
    <t>*</t>
  </si>
  <si>
    <t>(Activité non mentionnée dans l'annexe 1)</t>
  </si>
  <si>
    <t>(Activité non mentionnée dans l'annexe 2)</t>
  </si>
  <si>
    <t>Chiffre d’Affaires (HT) à retenir :</t>
  </si>
  <si>
    <t>au format jj/mm/aaaa</t>
  </si>
  <si>
    <t>Chiffres d'affaires :</t>
  </si>
  <si>
    <t>Vous pouvez, à la place du CA moyen, compléter vos CA réels des
périodes demandées, en 2019:</t>
  </si>
  <si>
    <t xml:space="preserve">Pensez bien </t>
  </si>
  <si>
    <t>à cocher</t>
  </si>
  <si>
    <t xml:space="preserve">l'une, ou </t>
  </si>
  <si>
    <t>plusieurs,</t>
  </si>
  <si>
    <t>de ces cases</t>
  </si>
  <si>
    <t>Seules les cases en jaune peuvent être complétées</t>
  </si>
  <si>
    <t>Nombre de jours de fermeture administrative entre le 25/09/2020 et le 31/10/2020 :</t>
  </si>
  <si>
    <t>Par simplification (autorisée), nous vous proposons de déterminer le CA mensuel moyen 2019 à partir du CA total de 2019</t>
  </si>
  <si>
    <r>
      <t xml:space="preserve">Vous </t>
    </r>
    <r>
      <rPr>
        <b/>
        <u/>
        <sz val="11"/>
        <color rgb="FF0D4174"/>
        <rFont val="Calibri"/>
        <family val="2"/>
        <scheme val="minor"/>
      </rPr>
      <t>devez</t>
    </r>
    <r>
      <rPr>
        <b/>
        <sz val="11"/>
        <color rgb="FF0D4174"/>
        <rFont val="Calibri"/>
        <family val="2"/>
        <scheme val="minor"/>
      </rPr>
      <t>, pour 2020, compléter les CA réalisés :</t>
    </r>
  </si>
  <si>
    <t>L'activité fait-elle partie de celles énumérées dans les annexes des décrets ? Choisissez….</t>
  </si>
  <si>
    <t xml:space="preserve"> - CA TOTAL exercice 2019 :</t>
  </si>
  <si>
    <t>- Facturé pour les BIC/BA/IS</t>
  </si>
  <si>
    <t>PROFESSION :</t>
  </si>
  <si>
    <t>Activités mentionnée à l'Annexe 2 (S1 bis) :</t>
  </si>
  <si>
    <t>Activités mentionnée à l'Annexe 1 (S1) :</t>
  </si>
  <si>
    <t>À cocher en cas d'activité impactée par le couvre-feu (21h - 6 h en Octobre 2020)</t>
  </si>
  <si>
    <t>(new*) : Activité ajoutée sur le Décret 2020-1328 du 2 Novembre 2020</t>
  </si>
  <si>
    <t>Chiffre d'affaires au cours de la période d'interdiction d'accueil du public :</t>
  </si>
  <si>
    <t>Chiffre d'affaires au cours de la même période en 2019 :</t>
  </si>
  <si>
    <t>* Aide de 1 500 € maximum en cas de perte d'au-moins 50 % du CA de Novembre 2020</t>
  </si>
  <si>
    <t>* Aide de 333 € maximum journalier, en cas de Fermeture Administrative au mois d'octobre</t>
  </si>
  <si>
    <t>À cocher en cas de fermeture administrative de Septembre à Octobre :</t>
  </si>
  <si>
    <t>- Le décret 2020-1328 du 02/11/2020 (lien ici)</t>
  </si>
  <si>
    <t>SUIVI DES AIDES ANNONCÉES 
PAR LE DÉCRET 2020-1328 DU 02/11/2020</t>
  </si>
  <si>
    <t>SEULES LES ENTREPRISES DE MOINS DE 50 SALARIÉS PEUVENT EN BÉNÉFICIER :</t>
  </si>
  <si>
    <t>- Notre FAQ sur le sujet (lien ici)</t>
  </si>
  <si>
    <t>- Notre résumé du décret 2020-1328 du 02/11/2020 (lien ici)</t>
  </si>
  <si>
    <t>Pour plus d'informations :</t>
  </si>
  <si>
    <r>
      <t xml:space="preserve">Selon les éléments renseignés à l'onglet « Mon entreprise », voici le résultat de l'étude </t>
    </r>
    <r>
      <rPr>
        <b/>
        <sz val="11"/>
        <color rgb="FF0D4174"/>
        <rFont val="Wingdings"/>
        <charset val="2"/>
      </rPr>
      <t>J</t>
    </r>
  </si>
  <si>
    <t>Attention, ce fichier est effectué par nos soins mais ne saurait engager notre responsabilité.</t>
  </si>
  <si>
    <t>À cocher en cas de fermeture administrative en Novembre</t>
  </si>
  <si>
    <t>- Notion de fermeture administrative définie au décret 2020-1310 du 29/10/2020 (lien ici)</t>
  </si>
  <si>
    <t xml:space="preserve"> * Aide pour les entreprises domicilées dans des zones ayant subi des mesures de couvre-feu de 21H-6H avec une perte de CA d'au moins 50% du CA en Octobre :</t>
  </si>
  <si>
    <t>Plafond en zone de couvre feu :</t>
  </si>
  <si>
    <t>Date de création :</t>
  </si>
  <si>
    <t>Plafond hors zone de couvre feu :</t>
  </si>
  <si>
    <t>Ticket modérateur :</t>
  </si>
  <si>
    <t>CA de référence en € :</t>
  </si>
  <si>
    <t>CA de référence en % :</t>
  </si>
  <si>
    <t>Aide couvre feu montant :</t>
  </si>
  <si>
    <t>Aide hors couvre feu montant :</t>
  </si>
  <si>
    <t>Aide fermeture administrative :</t>
  </si>
  <si>
    <t xml:space="preserve"> * Aide pour les entreprises domicilées hors des zones ayant subi des mesures de couvre-feu mais ayant une perte de CA d'au moins 50 % ou 70% du CA en Octobre :</t>
  </si>
  <si>
    <t>Nombre de jour de fermeture :</t>
  </si>
  <si>
    <t>Fermeture administrative :</t>
  </si>
  <si>
    <t>CA de référence :</t>
  </si>
  <si>
    <t>Aide de 10 000 € max :</t>
  </si>
  <si>
    <t>Aide de 1 500 € max :</t>
  </si>
  <si>
    <t xml:space="preserve">      Aide cumulable avec le fond de solidarité du mois de Septembre 2020 (décret 2020-371 Articles 3-7 ou 3-9)</t>
  </si>
  <si>
    <t>* Aide de 10 000 € maximum en cas de fermeture Administrative, ou est l'une des activités mentionnées en annexe 1 ,ou en annexe 2 mais avec une perte de CA d'au moins 80 % entre le 15/03/2020 et le 15/05/2020</t>
  </si>
  <si>
    <t>Perte de référence en € :</t>
  </si>
  <si>
    <t>Perte de référence en % :</t>
  </si>
  <si>
    <t>EXPLICATION SUR LES CALCULS DES AIDES ANNONCÉES 
PAR LE DÉCRET 2020-1328 DU 02/11/2020</t>
  </si>
  <si>
    <t>Diff entre CA de ref et perte :</t>
  </si>
  <si>
    <t>Le couvre-feu concerne les entreprises listées à l’art. 51 du Décret 2020-1262 du 16 Octobre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</si>
</sst>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 &quot;€&quot;_-;\-* #,##0\ &quot;€&quot;_-;_-* &quot;-&quot;??\ &quot;€&quot;_-;_-@_-"/>
  </numFmts>
  <fonts count="33">
    <font>
      <sz val="11"/>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i/>
      <sz val="11"/>
      <color rgb="FFFF0000"/>
      <name val="Calibri"/>
      <family val="2"/>
      <scheme val="minor"/>
    </font>
    <font>
      <i/>
      <sz val="12"/>
      <color theme="1"/>
      <name val="Calibri"/>
      <family val="2"/>
      <scheme val="minor"/>
    </font>
    <font>
      <b/>
      <sz val="14"/>
      <color rgb="FFC00000"/>
      <name val="Calibri"/>
      <family val="2"/>
      <scheme val="minor"/>
    </font>
    <font>
      <sz val="9"/>
      <color theme="1"/>
      <name val="DIN Light"/>
    </font>
    <font>
      <sz val="9"/>
      <color rgb="FF5B9BD5"/>
      <name val="DIN Light"/>
    </font>
    <font>
      <sz val="9"/>
      <color rgb="FF3C3C3C"/>
      <name val="DIN Light"/>
    </font>
    <font>
      <u/>
      <sz val="11"/>
      <color theme="10"/>
      <name val="Calibri"/>
      <family val="2"/>
      <scheme val="minor"/>
    </font>
    <font>
      <b/>
      <sz val="11"/>
      <color theme="0"/>
      <name val="Calibri"/>
      <family val="2"/>
      <scheme val="minor"/>
    </font>
    <font>
      <sz val="11"/>
      <color rgb="FF0D4174"/>
      <name val="Calibri"/>
      <family val="2"/>
      <scheme val="minor"/>
    </font>
    <font>
      <b/>
      <sz val="16"/>
      <color rgb="FF0D4174"/>
      <name val="Calibri"/>
      <family val="2"/>
      <scheme val="minor"/>
    </font>
    <font>
      <b/>
      <sz val="11"/>
      <color rgb="FF0D4174"/>
      <name val="Calibri"/>
      <family val="2"/>
      <scheme val="minor"/>
    </font>
    <font>
      <i/>
      <sz val="11"/>
      <color rgb="FF0D4174"/>
      <name val="Calibri"/>
      <family val="2"/>
      <scheme val="minor"/>
    </font>
    <font>
      <b/>
      <sz val="16"/>
      <color theme="0"/>
      <name val="Calibri"/>
      <family val="2"/>
      <scheme val="minor"/>
    </font>
    <font>
      <b/>
      <sz val="12"/>
      <color theme="0"/>
      <name val="Calibri"/>
      <family val="2"/>
      <scheme val="minor"/>
    </font>
    <font>
      <b/>
      <sz val="14"/>
      <color rgb="FF0D4174"/>
      <name val="Calibri"/>
      <family val="2"/>
      <scheme val="minor"/>
    </font>
    <font>
      <b/>
      <i/>
      <sz val="12"/>
      <color rgb="FF0D4174"/>
      <name val="Calibri"/>
      <family val="2"/>
      <scheme val="minor"/>
    </font>
    <font>
      <b/>
      <i/>
      <sz val="12"/>
      <color theme="0"/>
      <name val="Calibri"/>
      <family val="2"/>
      <scheme val="minor"/>
    </font>
    <font>
      <sz val="11"/>
      <color rgb="FFC00000"/>
      <name val="Calibri"/>
      <family val="2"/>
      <scheme val="minor"/>
    </font>
    <font>
      <b/>
      <sz val="18"/>
      <color theme="0"/>
      <name val="Calibri"/>
      <family val="2"/>
      <scheme val="minor"/>
    </font>
    <font>
      <b/>
      <sz val="12"/>
      <color rgb="FF0D4174"/>
      <name val="Calibri"/>
      <family val="2"/>
      <scheme val="minor"/>
    </font>
    <font>
      <sz val="11"/>
      <color rgb="FFFF0000"/>
      <name val="Calibri"/>
      <family val="2"/>
      <scheme val="minor"/>
    </font>
    <font>
      <b/>
      <u/>
      <sz val="11"/>
      <color rgb="FF0D4174"/>
      <name val="Calibri"/>
      <family val="2"/>
      <scheme val="minor"/>
    </font>
    <font>
      <sz val="11"/>
      <color rgb="FFFF0000"/>
      <name val="Calibri"/>
      <family val="2"/>
    </font>
    <font>
      <i/>
      <sz val="12"/>
      <color rgb="FF0D4174"/>
      <name val="Calibri"/>
      <family val="2"/>
      <scheme val="minor"/>
    </font>
    <font>
      <b/>
      <sz val="14"/>
      <color theme="0"/>
      <name val="Calibri"/>
      <family val="2"/>
      <scheme val="minor"/>
    </font>
    <font>
      <b/>
      <sz val="11"/>
      <color rgb="FF0D4174"/>
      <name val="Wingdings"/>
      <charset val="2"/>
    </font>
    <font>
      <sz val="11"/>
      <name val="Calibri"/>
      <family val="2"/>
      <scheme val="minor"/>
    </font>
    <font>
      <i/>
      <sz val="11"/>
      <name val="Calibri"/>
      <family val="2"/>
      <scheme val="minor"/>
    </font>
    <font>
      <sz val="8"/>
      <color rgb="FF0D4174"/>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0D4174"/>
        <bgColor indexed="64"/>
      </patternFill>
    </fill>
    <fill>
      <patternFill patternType="solid">
        <fgColor rgb="FF8ECFDD"/>
        <bgColor indexed="64"/>
      </patternFill>
    </fill>
    <fill>
      <patternFill patternType="solid">
        <fgColor rgb="FFFAC23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medium">
        <color rgb="FF0D4174"/>
      </bottom>
      <diagonal/>
    </border>
    <border>
      <left style="medium">
        <color rgb="FF0D4174"/>
      </left>
      <right style="medium">
        <color rgb="FF0D4174"/>
      </right>
      <top style="medium">
        <color rgb="FF0D4174"/>
      </top>
      <bottom style="medium">
        <color rgb="FF0D4174"/>
      </bottom>
      <diagonal/>
    </border>
    <border>
      <left style="medium">
        <color rgb="FF0D4174"/>
      </left>
      <right/>
      <top style="medium">
        <color rgb="FF0D4174"/>
      </top>
      <bottom/>
      <diagonal/>
    </border>
    <border>
      <left/>
      <right/>
      <top style="medium">
        <color rgb="FF0D4174"/>
      </top>
      <bottom/>
      <diagonal/>
    </border>
    <border>
      <left/>
      <right style="medium">
        <color rgb="FF0D4174"/>
      </right>
      <top style="medium">
        <color rgb="FF0D4174"/>
      </top>
      <bottom/>
      <diagonal/>
    </border>
    <border>
      <left/>
      <right/>
      <top/>
      <bottom style="thin">
        <color rgb="FF0D4174"/>
      </bottom>
      <diagonal/>
    </border>
    <border>
      <left/>
      <right style="thin">
        <color rgb="FF0D4174"/>
      </right>
      <top/>
      <bottom/>
      <diagonal/>
    </border>
    <border>
      <left style="thin">
        <color rgb="FF0D4174"/>
      </left>
      <right/>
      <top/>
      <bottom style="thin">
        <color rgb="FF0D4174"/>
      </bottom>
      <diagonal/>
    </border>
    <border>
      <left/>
      <right style="thin">
        <color indexed="64"/>
      </right>
      <top/>
      <bottom style="thin">
        <color rgb="FF0D4174"/>
      </bottom>
      <diagonal/>
    </border>
    <border>
      <left/>
      <right style="thin">
        <color rgb="FF0D4174"/>
      </right>
      <top style="thin">
        <color indexed="64"/>
      </top>
      <bottom/>
      <diagonal/>
    </border>
    <border>
      <left/>
      <right style="thin">
        <color rgb="FF0D4174"/>
      </right>
      <top style="thin">
        <color rgb="FF0D4174"/>
      </top>
      <bottom/>
      <diagonal/>
    </border>
    <border>
      <left/>
      <right/>
      <top style="thin">
        <color rgb="FF0D4174"/>
      </top>
      <bottom/>
      <diagonal/>
    </border>
    <border>
      <left/>
      <right style="thin">
        <color rgb="FF0D4174"/>
      </right>
      <top/>
      <bottom style="thin">
        <color rgb="FF0D4174"/>
      </bottom>
      <diagonal/>
    </border>
    <border>
      <left style="medium">
        <color rgb="FF0D4174"/>
      </left>
      <right/>
      <top style="medium">
        <color rgb="FF0D4174"/>
      </top>
      <bottom style="medium">
        <color rgb="FF0D4174"/>
      </bottom>
      <diagonal/>
    </border>
    <border>
      <left/>
      <right style="medium">
        <color rgb="FF0D4174"/>
      </right>
      <top style="medium">
        <color rgb="FF0D4174"/>
      </top>
      <bottom style="medium">
        <color rgb="FF0D4174"/>
      </bottom>
      <diagonal/>
    </border>
    <border>
      <left/>
      <right/>
      <top style="medium">
        <color rgb="FF0D4174"/>
      </top>
      <bottom style="medium">
        <color rgb="FF0D4174"/>
      </bottom>
      <diagonal/>
    </border>
    <border>
      <left style="medium">
        <color rgb="FF0D4174"/>
      </left>
      <right/>
      <top/>
      <bottom/>
      <diagonal/>
    </border>
    <border>
      <left/>
      <right style="medium">
        <color rgb="FF0D4174"/>
      </right>
      <top/>
      <bottom/>
      <diagonal/>
    </border>
    <border>
      <left style="medium">
        <color rgb="FF0D4174"/>
      </left>
      <right/>
      <top/>
      <bottom style="medium">
        <color rgb="FF0D4174"/>
      </bottom>
      <diagonal/>
    </border>
    <border>
      <left/>
      <right style="medium">
        <color rgb="FF0D4174"/>
      </right>
      <top/>
      <bottom style="medium">
        <color rgb="FF0D417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312">
    <xf numFmtId="0" fontId="0" fillId="0" borderId="0" xfId="0"/>
    <xf numFmtId="0" fontId="0" fillId="0" borderId="0" xfId="0" applyBorder="1"/>
    <xf numFmtId="14" fontId="0" fillId="0" borderId="0" xfId="0" applyNumberFormat="1"/>
    <xf numFmtId="0" fontId="0" fillId="0" borderId="0" xfId="0" quotePrefix="1"/>
    <xf numFmtId="0" fontId="0" fillId="0" borderId="1" xfId="0" applyBorder="1"/>
    <xf numFmtId="0" fontId="0" fillId="0" borderId="0" xfId="0" applyFill="1"/>
    <xf numFmtId="9" fontId="0" fillId="0" borderId="0" xfId="2" applyFont="1" applyFill="1"/>
    <xf numFmtId="44" fontId="0" fillId="0" borderId="0" xfId="1" applyFont="1" applyBorder="1"/>
    <xf numFmtId="44" fontId="0" fillId="0" borderId="0" xfId="0" applyNumberFormat="1"/>
    <xf numFmtId="9" fontId="0" fillId="0" borderId="0" xfId="2" applyFont="1"/>
    <xf numFmtId="0" fontId="0" fillId="0" borderId="0" xfId="0" applyAlignment="1">
      <alignment horizontal="center" vertical="center" wrapText="1"/>
    </xf>
    <xf numFmtId="0" fontId="0" fillId="0" borderId="0" xfId="0" applyAlignment="1">
      <alignment vertical="center" wrapText="1"/>
    </xf>
    <xf numFmtId="44" fontId="0" fillId="0" borderId="0" xfId="0" applyNumberFormat="1" applyBorder="1"/>
    <xf numFmtId="9" fontId="0" fillId="0" borderId="0" xfId="2" applyFont="1" applyBorder="1"/>
    <xf numFmtId="0" fontId="0" fillId="0" borderId="0" xfId="0" applyFill="1" applyBorder="1"/>
    <xf numFmtId="0" fontId="0" fillId="0" borderId="0" xfId="0" applyAlignment="1">
      <alignment horizontal="left"/>
    </xf>
    <xf numFmtId="0" fontId="0" fillId="0" borderId="0" xfId="0"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7" xfId="0" applyBorder="1"/>
    <xf numFmtId="0" fontId="0" fillId="0" borderId="6" xfId="0" applyBorder="1"/>
    <xf numFmtId="0" fontId="0" fillId="0" borderId="8" xfId="0" applyBorder="1"/>
    <xf numFmtId="0" fontId="2" fillId="0" borderId="0" xfId="0" applyFont="1" applyAlignment="1">
      <alignment vertical="center" wrapText="1"/>
    </xf>
    <xf numFmtId="0" fontId="3" fillId="0" borderId="0" xfId="0" applyFont="1"/>
    <xf numFmtId="44" fontId="0" fillId="0" borderId="0" xfId="0" applyNumberFormat="1" applyBorder="1" applyAlignment="1">
      <alignment horizontal="right"/>
    </xf>
    <xf numFmtId="9" fontId="0" fillId="0" borderId="0" xfId="2" applyFont="1" applyBorder="1" applyAlignment="1">
      <alignment horizontal="right"/>
    </xf>
    <xf numFmtId="44" fontId="0" fillId="0" borderId="7" xfId="1" applyFont="1" applyBorder="1"/>
    <xf numFmtId="164" fontId="0" fillId="0" borderId="0" xfId="1" applyNumberFormat="1" applyFont="1" applyBorder="1"/>
    <xf numFmtId="164" fontId="0" fillId="0" borderId="7" xfId="1" applyNumberFormat="1" applyFont="1" applyBorder="1"/>
    <xf numFmtId="164" fontId="0" fillId="0" borderId="0" xfId="1" applyNumberFormat="1" applyFont="1" applyBorder="1" applyAlignment="1">
      <alignment horizontal="right"/>
    </xf>
    <xf numFmtId="0" fontId="5" fillId="0" borderId="0" xfId="0" applyFont="1" applyAlignment="1">
      <alignment horizontal="center"/>
    </xf>
    <xf numFmtId="44" fontId="0" fillId="0" borderId="7" xfId="0" applyNumberFormat="1" applyBorder="1"/>
    <xf numFmtId="0" fontId="0" fillId="0" borderId="5" xfId="0" applyBorder="1" applyAlignment="1">
      <alignment horizontal="center"/>
    </xf>
    <xf numFmtId="9" fontId="0" fillId="0" borderId="5" xfId="2" applyFont="1" applyBorder="1"/>
    <xf numFmtId="9" fontId="0" fillId="0" borderId="5" xfId="2" applyFont="1" applyBorder="1" applyAlignment="1">
      <alignment horizontal="right"/>
    </xf>
    <xf numFmtId="9" fontId="0" fillId="0" borderId="7" xfId="2" applyFont="1" applyBorder="1" applyAlignment="1">
      <alignment horizontal="right"/>
    </xf>
    <xf numFmtId="9" fontId="0" fillId="0" borderId="7" xfId="2" applyFont="1" applyFill="1" applyBorder="1"/>
    <xf numFmtId="0" fontId="4" fillId="0" borderId="0" xfId="0" applyFont="1" applyAlignment="1">
      <alignment horizontal="left" vertical="top" wrapText="1"/>
    </xf>
    <xf numFmtId="0" fontId="7" fillId="0" borderId="0" xfId="0" applyFont="1" applyAlignment="1">
      <alignment vertical="center"/>
    </xf>
    <xf numFmtId="0" fontId="7"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vertical="center"/>
    </xf>
    <xf numFmtId="0" fontId="9" fillId="0" borderId="0" xfId="0" applyFont="1" applyAlignment="1">
      <alignment vertical="center"/>
    </xf>
    <xf numFmtId="0" fontId="9" fillId="2" borderId="0" xfId="0" applyFont="1" applyFill="1" applyAlignment="1">
      <alignment vertical="center"/>
    </xf>
    <xf numFmtId="0" fontId="10" fillId="0" borderId="0" xfId="3" applyAlignment="1">
      <alignment vertical="center"/>
    </xf>
    <xf numFmtId="44" fontId="0" fillId="0" borderId="5" xfId="0" applyNumberFormat="1" applyBorder="1"/>
    <xf numFmtId="44" fontId="0" fillId="0" borderId="0" xfId="1" applyFont="1" applyBorder="1" applyAlignment="1">
      <alignment horizontal="right"/>
    </xf>
    <xf numFmtId="10" fontId="0" fillId="0" borderId="0" xfId="2" applyNumberFormat="1" applyFont="1" applyBorder="1"/>
    <xf numFmtId="0" fontId="4" fillId="0" borderId="0" xfId="0" applyFont="1" applyAlignment="1">
      <alignment vertical="top"/>
    </xf>
    <xf numFmtId="0" fontId="12" fillId="0" borderId="0" xfId="0" applyFont="1"/>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xf numFmtId="0" fontId="12" fillId="0" borderId="0" xfId="0" applyFont="1" applyBorder="1"/>
    <xf numFmtId="0" fontId="12" fillId="0" borderId="0" xfId="0" applyFont="1" applyAlignment="1">
      <alignment horizontal="left"/>
    </xf>
    <xf numFmtId="0" fontId="12" fillId="0" borderId="3" xfId="0" applyFont="1" applyBorder="1" applyAlignment="1">
      <alignment horizontal="left"/>
    </xf>
    <xf numFmtId="0" fontId="12" fillId="0" borderId="7" xfId="0" applyFont="1" applyBorder="1"/>
    <xf numFmtId="0" fontId="12" fillId="0" borderId="0" xfId="0" applyFont="1" applyAlignment="1">
      <alignment horizontal="center"/>
    </xf>
    <xf numFmtId="0" fontId="12" fillId="0" borderId="0" xfId="0" applyFont="1" applyBorder="1" applyAlignment="1">
      <alignment horizontal="center"/>
    </xf>
    <xf numFmtId="0" fontId="12" fillId="0" borderId="0" xfId="0" applyFont="1" applyAlignment="1"/>
    <xf numFmtId="0" fontId="12" fillId="0" borderId="3" xfId="0" applyFont="1" applyBorder="1"/>
    <xf numFmtId="44" fontId="15" fillId="0" borderId="0" xfId="1" applyFont="1"/>
    <xf numFmtId="0" fontId="12" fillId="0" borderId="0" xfId="0" quotePrefix="1" applyFont="1"/>
    <xf numFmtId="44" fontId="12" fillId="0" borderId="0" xfId="1" applyFont="1" applyBorder="1"/>
    <xf numFmtId="0" fontId="15" fillId="0" borderId="0" xfId="0" quotePrefix="1" applyFont="1" applyAlignment="1">
      <alignment horizontal="right"/>
    </xf>
    <xf numFmtId="44" fontId="12" fillId="0" borderId="0" xfId="0" applyNumberFormat="1" applyFont="1"/>
    <xf numFmtId="44" fontId="12" fillId="0" borderId="0" xfId="1" applyFont="1"/>
    <xf numFmtId="0" fontId="12" fillId="0" borderId="0" xfId="0" applyFont="1" applyAlignment="1">
      <alignment vertical="top" wrapText="1"/>
    </xf>
    <xf numFmtId="0" fontId="12" fillId="0" borderId="0" xfId="0" applyFont="1" applyAlignment="1">
      <alignment horizontal="left" vertical="top" wrapText="1"/>
    </xf>
    <xf numFmtId="0" fontId="12" fillId="0" borderId="0" xfId="0" applyFont="1" applyAlignment="1">
      <alignment vertical="top"/>
    </xf>
    <xf numFmtId="0" fontId="15" fillId="0" borderId="0" xfId="0" applyFont="1" applyAlignment="1"/>
    <xf numFmtId="0" fontId="15" fillId="0" borderId="0" xfId="0" applyFont="1" applyBorder="1"/>
    <xf numFmtId="0" fontId="15" fillId="0" borderId="0" xfId="0" applyFont="1" applyAlignment="1">
      <alignment horizontal="left"/>
    </xf>
    <xf numFmtId="0" fontId="15" fillId="0" borderId="0" xfId="0" applyFont="1" applyAlignment="1">
      <alignment horizontal="center"/>
    </xf>
    <xf numFmtId="0" fontId="12" fillId="0" borderId="0" xfId="0" applyFont="1" applyFill="1"/>
    <xf numFmtId="0" fontId="15" fillId="0" borderId="0" xfId="0" applyFont="1" applyFill="1" applyAlignment="1">
      <alignment horizontal="left"/>
    </xf>
    <xf numFmtId="0" fontId="15" fillId="0" borderId="0" xfId="0" applyFont="1"/>
    <xf numFmtId="9" fontId="12" fillId="0" borderId="0" xfId="2" applyFont="1" applyBorder="1"/>
    <xf numFmtId="9" fontId="12" fillId="0" borderId="0" xfId="2" applyFont="1" applyFill="1"/>
    <xf numFmtId="0" fontId="0" fillId="0" borderId="9" xfId="0" applyBorder="1"/>
    <xf numFmtId="0" fontId="12" fillId="0" borderId="9" xfId="0" applyFont="1" applyBorder="1"/>
    <xf numFmtId="0" fontId="5" fillId="0" borderId="12" xfId="0" applyFont="1" applyBorder="1" applyAlignment="1">
      <alignment horizontal="center"/>
    </xf>
    <xf numFmtId="0" fontId="12" fillId="0" borderId="14" xfId="0" applyFont="1" applyBorder="1"/>
    <xf numFmtId="0" fontId="12" fillId="0" borderId="15" xfId="0" applyFont="1" applyBorder="1"/>
    <xf numFmtId="0" fontId="12" fillId="0" borderId="16" xfId="0" applyFont="1" applyBorder="1"/>
    <xf numFmtId="0" fontId="12" fillId="0" borderId="14" xfId="0" applyFont="1" applyBorder="1" applyAlignment="1"/>
    <xf numFmtId="0" fontId="0" fillId="0" borderId="17" xfId="0" applyBorder="1"/>
    <xf numFmtId="0" fontId="0" fillId="0" borderId="18" xfId="0" applyBorder="1"/>
    <xf numFmtId="0" fontId="0" fillId="0" borderId="15" xfId="0" applyBorder="1"/>
    <xf numFmtId="0" fontId="12" fillId="0" borderId="20" xfId="0" applyFont="1" applyBorder="1"/>
    <xf numFmtId="0" fontId="0" fillId="0" borderId="19" xfId="0" applyBorder="1"/>
    <xf numFmtId="0" fontId="15" fillId="0" borderId="15" xfId="0" applyFont="1" applyBorder="1"/>
    <xf numFmtId="0" fontId="0" fillId="0" borderId="15" xfId="0" applyBorder="1" applyAlignment="1">
      <alignment vertical="center" wrapText="1"/>
    </xf>
    <xf numFmtId="0" fontId="2" fillId="0" borderId="15" xfId="0" applyFont="1" applyBorder="1" applyAlignment="1">
      <alignment vertical="center" wrapText="1"/>
    </xf>
    <xf numFmtId="0" fontId="0" fillId="0" borderId="15" xfId="0" applyBorder="1" applyAlignment="1">
      <alignment horizontal="center" vertical="center" wrapText="1"/>
    </xf>
    <xf numFmtId="0" fontId="0" fillId="0" borderId="21" xfId="0" applyBorder="1"/>
    <xf numFmtId="0" fontId="14" fillId="0" borderId="0" xfId="0" applyFont="1"/>
    <xf numFmtId="0" fontId="16" fillId="0" borderId="0" xfId="0" applyFont="1" applyFill="1" applyAlignment="1">
      <alignment vertical="center"/>
    </xf>
    <xf numFmtId="0" fontId="0" fillId="0" borderId="14" xfId="0" applyBorder="1"/>
    <xf numFmtId="0" fontId="0" fillId="0" borderId="14" xfId="0" applyFill="1" applyBorder="1"/>
    <xf numFmtId="0" fontId="6" fillId="0" borderId="14" xfId="0" applyFont="1" applyBorder="1" applyAlignment="1">
      <alignment horizontal="center" wrapText="1"/>
    </xf>
    <xf numFmtId="0" fontId="3" fillId="3" borderId="26" xfId="0" applyFont="1" applyFill="1" applyBorder="1"/>
    <xf numFmtId="0" fontId="3" fillId="3" borderId="25" xfId="0" applyFont="1" applyFill="1" applyBorder="1"/>
    <xf numFmtId="0" fontId="3" fillId="3" borderId="27" xfId="0" applyFont="1" applyFill="1" applyBorder="1"/>
    <xf numFmtId="0" fontId="3" fillId="3" borderId="9" xfId="0" applyFont="1" applyFill="1" applyBorder="1"/>
    <xf numFmtId="0" fontId="3" fillId="3" borderId="28" xfId="0" applyFont="1" applyFill="1" applyBorder="1"/>
    <xf numFmtId="0" fontId="12" fillId="0" borderId="0" xfId="0" applyFont="1" applyBorder="1" applyAlignment="1">
      <alignment horizontal="left"/>
    </xf>
    <xf numFmtId="0" fontId="14" fillId="0" borderId="0" xfId="0" applyFont="1" applyAlignment="1">
      <alignment horizontal="right"/>
    </xf>
    <xf numFmtId="0" fontId="21" fillId="0" borderId="0" xfId="0" applyFont="1" applyAlignment="1">
      <alignment horizontal="left"/>
    </xf>
    <xf numFmtId="0" fontId="21" fillId="0" borderId="15" xfId="0" applyFont="1" applyBorder="1"/>
    <xf numFmtId="0" fontId="21" fillId="0" borderId="0" xfId="0" applyFont="1"/>
    <xf numFmtId="0" fontId="12" fillId="0" borderId="0" xfId="0" applyFont="1" applyFill="1" applyBorder="1"/>
    <xf numFmtId="0" fontId="20" fillId="0" borderId="0" xfId="0" applyFont="1" applyFill="1" applyAlignment="1">
      <alignment vertical="top" wrapText="1"/>
    </xf>
    <xf numFmtId="0" fontId="20" fillId="0" borderId="0" xfId="0" applyFont="1" applyFill="1" applyAlignment="1">
      <alignment horizontal="left" vertical="top" wrapText="1"/>
    </xf>
    <xf numFmtId="0" fontId="17" fillId="0" borderId="0" xfId="0" applyFont="1" applyFill="1" applyBorder="1"/>
    <xf numFmtId="0" fontId="17" fillId="0" borderId="0" xfId="0" applyFont="1" applyFill="1"/>
    <xf numFmtId="0" fontId="19" fillId="0" borderId="0" xfId="0" applyFont="1" applyFill="1" applyBorder="1" applyAlignment="1">
      <alignment horizontal="left" vertical="top" wrapText="1"/>
    </xf>
    <xf numFmtId="0" fontId="22" fillId="0" borderId="0" xfId="0" applyFont="1" applyFill="1" applyBorder="1" applyAlignment="1">
      <alignment horizontal="center" vertical="center"/>
    </xf>
    <xf numFmtId="0" fontId="15" fillId="0" borderId="0" xfId="0" applyFont="1" applyAlignment="1">
      <alignment horizontal="left"/>
    </xf>
    <xf numFmtId="0" fontId="24" fillId="0" borderId="0" xfId="0" applyFont="1"/>
    <xf numFmtId="0" fontId="15" fillId="0" borderId="0" xfId="0" applyFont="1" applyAlignment="1">
      <alignment horizontal="center"/>
    </xf>
    <xf numFmtId="0" fontId="22" fillId="0" borderId="0" xfId="3" applyFont="1" applyFill="1" applyBorder="1" applyAlignment="1">
      <alignment horizontal="center" vertical="center"/>
    </xf>
    <xf numFmtId="0" fontId="26" fillId="0" borderId="0" xfId="0" applyFont="1" applyAlignment="1">
      <alignment vertical="top"/>
    </xf>
    <xf numFmtId="0" fontId="5" fillId="0" borderId="0" xfId="0" applyFont="1" applyBorder="1" applyAlignment="1">
      <alignment horizontal="center"/>
    </xf>
    <xf numFmtId="0" fontId="18" fillId="0" borderId="0" xfId="0" applyFont="1" applyFill="1" applyBorder="1" applyAlignment="1">
      <alignment vertical="center" wrapText="1"/>
    </xf>
    <xf numFmtId="0" fontId="17" fillId="3" borderId="0" xfId="0" applyFont="1" applyFill="1" applyAlignment="1">
      <alignment vertical="top" wrapText="1"/>
    </xf>
    <xf numFmtId="0" fontId="11" fillId="3" borderId="0" xfId="0" applyFont="1" applyFill="1"/>
    <xf numFmtId="0" fontId="0" fillId="0" borderId="0" xfId="0" applyBorder="1" applyAlignment="1">
      <alignment horizontal="center"/>
    </xf>
    <xf numFmtId="0" fontId="0" fillId="0" borderId="0" xfId="0" applyAlignment="1">
      <alignment horizontal="center"/>
    </xf>
    <xf numFmtId="0" fontId="24" fillId="0" borderId="0" xfId="0" applyFont="1" applyBorder="1"/>
    <xf numFmtId="0" fontId="24" fillId="0" borderId="7" xfId="0" applyFont="1" applyBorder="1"/>
    <xf numFmtId="0" fontId="24" fillId="0" borderId="5" xfId="0" applyFont="1" applyBorder="1"/>
    <xf numFmtId="0" fontId="19" fillId="0" borderId="0" xfId="0" applyFont="1" applyAlignment="1">
      <alignment horizontal="center"/>
    </xf>
    <xf numFmtId="0" fontId="17" fillId="3" borderId="0" xfId="0" applyFont="1" applyFill="1" applyAlignment="1">
      <alignment vertical="center" wrapText="1"/>
    </xf>
    <xf numFmtId="0" fontId="12" fillId="0" borderId="30" xfId="0" applyFont="1" applyBorder="1"/>
    <xf numFmtId="0" fontId="4" fillId="0" borderId="0" xfId="0" applyFont="1" applyFill="1" applyAlignment="1">
      <alignment horizontal="left"/>
    </xf>
    <xf numFmtId="0" fontId="24" fillId="0" borderId="0" xfId="0" applyFont="1" applyFill="1" applyAlignment="1">
      <alignment horizontal="left"/>
    </xf>
    <xf numFmtId="44" fontId="12" fillId="5" borderId="10" xfId="1" applyFont="1" applyFill="1" applyBorder="1" applyProtection="1">
      <protection locked="0"/>
    </xf>
    <xf numFmtId="14" fontId="12" fillId="0" borderId="0" xfId="0" applyNumberFormat="1" applyFont="1"/>
    <xf numFmtId="0" fontId="15" fillId="0" borderId="0" xfId="0" applyFont="1" applyAlignment="1">
      <alignment horizontal="left"/>
    </xf>
    <xf numFmtId="0" fontId="15" fillId="0" borderId="0" xfId="0" applyFont="1" applyAlignment="1">
      <alignment horizontal="left"/>
    </xf>
    <xf numFmtId="0" fontId="0" fillId="0" borderId="0" xfId="0" applyBorder="1" applyAlignment="1">
      <alignment horizontal="center"/>
    </xf>
    <xf numFmtId="0" fontId="0" fillId="0" borderId="0" xfId="0" applyBorder="1" applyAlignment="1">
      <alignment horizontal="right"/>
    </xf>
    <xf numFmtId="0" fontId="0" fillId="0" borderId="7" xfId="0" applyBorder="1" applyAlignment="1">
      <alignment horizontal="right"/>
    </xf>
    <xf numFmtId="0" fontId="27" fillId="0" borderId="0" xfId="0" applyFont="1" applyAlignment="1">
      <alignment horizontal="left"/>
    </xf>
    <xf numFmtId="0" fontId="0" fillId="0" borderId="0" xfId="0" applyAlignment="1">
      <alignment horizontal="center"/>
    </xf>
    <xf numFmtId="0" fontId="15" fillId="0" borderId="0" xfId="0" applyFont="1" applyFill="1"/>
    <xf numFmtId="0" fontId="15" fillId="0" borderId="0" xfId="0" quotePrefix="1" applyFont="1" applyAlignment="1">
      <alignment horizontal="left"/>
    </xf>
    <xf numFmtId="0" fontId="12" fillId="0" borderId="15" xfId="0" applyFont="1" applyBorder="1" applyAlignment="1">
      <alignment horizontal="left"/>
    </xf>
    <xf numFmtId="0" fontId="2" fillId="0" borderId="0" xfId="0" applyFont="1"/>
    <xf numFmtId="9" fontId="15" fillId="0" borderId="0" xfId="2" applyFont="1" applyFill="1"/>
    <xf numFmtId="0" fontId="0" fillId="0" borderId="5" xfId="0" applyFill="1" applyBorder="1" applyAlignment="1">
      <alignment vertical="center"/>
    </xf>
    <xf numFmtId="0" fontId="0" fillId="0" borderId="5" xfId="0" applyBorder="1" applyAlignment="1">
      <alignment vertical="center"/>
    </xf>
    <xf numFmtId="0" fontId="0" fillId="0" borderId="7" xfId="0" applyBorder="1" applyAlignment="1">
      <alignment horizontal="center"/>
    </xf>
    <xf numFmtId="0" fontId="0" fillId="0" borderId="2" xfId="0" applyFill="1" applyBorder="1"/>
    <xf numFmtId="0" fontId="0" fillId="0" borderId="2" xfId="0" quotePrefix="1" applyBorder="1"/>
    <xf numFmtId="0" fontId="0" fillId="0" borderId="0" xfId="0" applyFill="1" applyBorder="1" applyAlignment="1">
      <alignment horizontal="right" vertical="center"/>
    </xf>
    <xf numFmtId="0" fontId="0" fillId="0" borderId="0" xfId="0" applyBorder="1" applyAlignment="1"/>
    <xf numFmtId="0" fontId="15" fillId="0" borderId="0" xfId="0" applyFont="1" applyAlignment="1">
      <alignment wrapText="1"/>
    </xf>
    <xf numFmtId="9" fontId="0" fillId="0" borderId="0" xfId="2" applyFont="1" applyFill="1" applyBorder="1" applyAlignment="1">
      <alignment horizontal="right"/>
    </xf>
    <xf numFmtId="164" fontId="0" fillId="0" borderId="5" xfId="1" applyNumberFormat="1" applyFont="1" applyBorder="1"/>
    <xf numFmtId="164" fontId="0" fillId="0" borderId="5" xfId="1" applyNumberFormat="1" applyFont="1" applyBorder="1" applyAlignment="1">
      <alignment horizontal="right"/>
    </xf>
    <xf numFmtId="0" fontId="0" fillId="0" borderId="5" xfId="0" applyBorder="1" applyAlignment="1">
      <alignment horizontal="right"/>
    </xf>
    <xf numFmtId="0" fontId="21" fillId="0" borderId="0" xfId="0" applyFont="1" applyAlignment="1">
      <alignment vertical="center" wrapText="1"/>
    </xf>
    <xf numFmtId="0" fontId="11" fillId="3" borderId="0" xfId="0" quotePrefix="1" applyFont="1" applyFill="1" applyBorder="1"/>
    <xf numFmtId="0" fontId="11" fillId="3" borderId="0" xfId="0" applyFont="1" applyFill="1" applyBorder="1"/>
    <xf numFmtId="0" fontId="30" fillId="0" borderId="0" xfId="0" applyFont="1" applyBorder="1"/>
    <xf numFmtId="44" fontId="30" fillId="0" borderId="0" xfId="0" applyNumberFormat="1" applyFont="1" applyBorder="1" applyAlignment="1">
      <alignment horizontal="right"/>
    </xf>
    <xf numFmtId="164" fontId="30" fillId="0" borderId="0" xfId="1" applyNumberFormat="1" applyFont="1" applyBorder="1" applyAlignment="1">
      <alignment horizontal="right"/>
    </xf>
    <xf numFmtId="164" fontId="30" fillId="0" borderId="7" xfId="1" applyNumberFormat="1" applyFont="1" applyBorder="1"/>
    <xf numFmtId="44" fontId="30" fillId="0" borderId="0" xfId="1" applyFont="1" applyBorder="1" applyAlignment="1">
      <alignment horizontal="right"/>
    </xf>
    <xf numFmtId="0" fontId="30" fillId="0" borderId="0" xfId="0" applyFont="1" applyBorder="1" applyAlignment="1">
      <alignment horizontal="right"/>
    </xf>
    <xf numFmtId="0" fontId="30" fillId="0" borderId="7" xfId="0" applyFont="1" applyBorder="1"/>
    <xf numFmtId="9" fontId="30" fillId="0" borderId="5" xfId="2" applyFont="1" applyBorder="1" applyAlignment="1">
      <alignment horizontal="right"/>
    </xf>
    <xf numFmtId="0" fontId="31" fillId="0" borderId="0" xfId="0" applyFont="1" applyBorder="1"/>
    <xf numFmtId="0" fontId="15" fillId="0" borderId="0" xfId="0" applyFont="1" applyAlignment="1">
      <alignment horizontal="left"/>
    </xf>
    <xf numFmtId="0" fontId="15" fillId="0" borderId="0" xfId="0" applyFont="1" applyAlignment="1">
      <alignment horizontal="left"/>
    </xf>
    <xf numFmtId="0" fontId="12" fillId="0" borderId="0" xfId="0" applyFont="1" applyAlignment="1">
      <alignment horizontal="left"/>
    </xf>
    <xf numFmtId="0" fontId="0" fillId="0" borderId="0" xfId="0" applyFill="1" applyBorder="1" applyAlignment="1">
      <alignment horizontal="right" vertical="center"/>
    </xf>
    <xf numFmtId="0" fontId="0" fillId="0" borderId="0" xfId="0" applyBorder="1" applyAlignment="1">
      <alignment horizontal="right"/>
    </xf>
    <xf numFmtId="0" fontId="27" fillId="0" borderId="0" xfId="0" applyFont="1" applyAlignment="1">
      <alignment horizontal="left"/>
    </xf>
    <xf numFmtId="0" fontId="0" fillId="0" borderId="7" xfId="0" applyBorder="1" applyAlignment="1">
      <alignment horizontal="right"/>
    </xf>
    <xf numFmtId="0" fontId="30" fillId="0" borderId="0" xfId="0" applyFont="1" applyBorder="1" applyAlignment="1">
      <alignment horizontal="right"/>
    </xf>
    <xf numFmtId="0" fontId="0" fillId="0" borderId="0" xfId="0" applyBorder="1" applyAlignment="1">
      <alignment horizontal="center"/>
    </xf>
    <xf numFmtId="0" fontId="12" fillId="0" borderId="0" xfId="0" applyFont="1" applyBorder="1" applyAlignment="1">
      <alignment horizontal="center"/>
    </xf>
    <xf numFmtId="0" fontId="15" fillId="0" borderId="0" xfId="0" applyFont="1" applyAlignment="1">
      <alignment horizontal="right"/>
    </xf>
    <xf numFmtId="0" fontId="11" fillId="3" borderId="0" xfId="0" quotePrefix="1" applyFont="1" applyFill="1" applyBorder="1" applyAlignment="1">
      <alignment horizontal="left" wrapText="1"/>
    </xf>
    <xf numFmtId="0" fontId="15" fillId="0" borderId="0" xfId="0" applyFont="1" applyAlignment="1">
      <alignment horizontal="left"/>
    </xf>
    <xf numFmtId="0" fontId="12" fillId="0" borderId="0" xfId="0" applyFont="1" applyAlignment="1">
      <alignment horizontal="left"/>
    </xf>
    <xf numFmtId="0" fontId="12" fillId="0" borderId="0" xfId="0" applyFont="1" applyAlignment="1">
      <alignment horizontal="right"/>
    </xf>
    <xf numFmtId="0" fontId="12" fillId="0" borderId="0" xfId="0" applyFont="1" applyAlignment="1">
      <alignment horizontal="left" vertical="top" wrapText="1"/>
    </xf>
    <xf numFmtId="0" fontId="12" fillId="0" borderId="0" xfId="0" applyFont="1" applyAlignment="1">
      <alignment horizontal="left" vertical="top"/>
    </xf>
    <xf numFmtId="0" fontId="11" fillId="3" borderId="0" xfId="0" applyFont="1" applyFill="1" applyAlignment="1">
      <alignment horizontal="center"/>
    </xf>
    <xf numFmtId="0" fontId="16" fillId="3" borderId="11"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26" xfId="0" applyFont="1" applyFill="1" applyBorder="1" applyAlignment="1">
      <alignment horizontal="center" vertical="center"/>
    </xf>
    <xf numFmtId="0" fontId="14" fillId="0" borderId="0" xfId="0" applyFont="1" applyAlignment="1">
      <alignment horizontal="left"/>
    </xf>
    <xf numFmtId="0" fontId="16" fillId="3" borderId="27"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28" xfId="0" applyFont="1" applyFill="1" applyBorder="1" applyAlignment="1">
      <alignment horizontal="center" vertical="center"/>
    </xf>
    <xf numFmtId="0" fontId="13" fillId="5" borderId="11" xfId="0" applyFont="1" applyFill="1" applyBorder="1" applyAlignment="1" applyProtection="1">
      <alignment horizontal="center" vertical="center"/>
      <protection locked="0"/>
    </xf>
    <xf numFmtId="0" fontId="13" fillId="5" borderId="12" xfId="0" applyFont="1" applyFill="1" applyBorder="1" applyAlignment="1" applyProtection="1">
      <alignment horizontal="center" vertical="center"/>
      <protection locked="0"/>
    </xf>
    <xf numFmtId="0" fontId="13" fillId="5" borderId="13" xfId="0" applyFont="1" applyFill="1" applyBorder="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0" xfId="0" applyFont="1" applyFill="1" applyBorder="1" applyAlignment="1" applyProtection="1">
      <alignment horizontal="center" vertical="center"/>
      <protection locked="0"/>
    </xf>
    <xf numFmtId="0" fontId="13" fillId="5" borderId="26" xfId="0" applyFont="1" applyFill="1" applyBorder="1" applyAlignment="1" applyProtection="1">
      <alignment horizontal="center" vertical="center"/>
      <protection locked="0"/>
    </xf>
    <xf numFmtId="0" fontId="13" fillId="5" borderId="27" xfId="0" applyFont="1" applyFill="1" applyBorder="1" applyAlignment="1" applyProtection="1">
      <alignment horizontal="center" vertical="center"/>
      <protection locked="0"/>
    </xf>
    <xf numFmtId="0" fontId="13" fillId="5" borderId="9" xfId="0" applyFont="1" applyFill="1" applyBorder="1" applyAlignment="1" applyProtection="1">
      <alignment horizontal="center" vertical="center"/>
      <protection locked="0"/>
    </xf>
    <xf numFmtId="0" fontId="13" fillId="5" borderId="28" xfId="0" applyFont="1" applyFill="1" applyBorder="1" applyAlignment="1" applyProtection="1">
      <alignment horizontal="center" vertical="center"/>
      <protection locked="0"/>
    </xf>
    <xf numFmtId="0" fontId="11" fillId="3" borderId="22" xfId="0" applyFont="1" applyFill="1" applyBorder="1" applyAlignment="1">
      <alignment horizontal="center"/>
    </xf>
    <xf numFmtId="0" fontId="11" fillId="3" borderId="24" xfId="0" applyFont="1" applyFill="1" applyBorder="1" applyAlignment="1">
      <alignment horizontal="center"/>
    </xf>
    <xf numFmtId="0" fontId="11" fillId="3" borderId="23" xfId="0" applyFont="1" applyFill="1" applyBorder="1" applyAlignment="1">
      <alignment horizontal="center"/>
    </xf>
    <xf numFmtId="14" fontId="12" fillId="5" borderId="22" xfId="0" applyNumberFormat="1" applyFont="1" applyFill="1" applyBorder="1" applyAlignment="1" applyProtection="1">
      <alignment horizontal="center"/>
      <protection locked="0"/>
    </xf>
    <xf numFmtId="14" fontId="12" fillId="5" borderId="23" xfId="0" applyNumberFormat="1" applyFont="1" applyFill="1" applyBorder="1" applyAlignment="1" applyProtection="1">
      <alignment horizontal="center"/>
      <protection locked="0"/>
    </xf>
    <xf numFmtId="0" fontId="11" fillId="3" borderId="22"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23" xfId="0" applyFont="1" applyFill="1" applyBorder="1" applyAlignment="1">
      <alignment horizontal="center" vertical="center"/>
    </xf>
    <xf numFmtId="0" fontId="12" fillId="5" borderId="24" xfId="0" applyFont="1" applyFill="1" applyBorder="1" applyAlignment="1" applyProtection="1">
      <alignment horizontal="center"/>
      <protection locked="0"/>
    </xf>
    <xf numFmtId="0" fontId="12" fillId="5" borderId="23" xfId="0" applyFont="1" applyFill="1" applyBorder="1" applyAlignment="1" applyProtection="1">
      <alignment horizontal="center"/>
      <protection locked="0"/>
    </xf>
    <xf numFmtId="0" fontId="14" fillId="0" borderId="0" xfId="0" applyFont="1" applyAlignment="1">
      <alignment horizontal="center"/>
    </xf>
    <xf numFmtId="0" fontId="22" fillId="3" borderId="11" xfId="3" applyFont="1" applyFill="1" applyBorder="1" applyAlignment="1">
      <alignment horizontal="center" vertical="center"/>
    </xf>
    <xf numFmtId="0" fontId="22" fillId="3" borderId="12" xfId="3" applyFont="1" applyFill="1" applyBorder="1" applyAlignment="1">
      <alignment horizontal="center" vertical="center"/>
    </xf>
    <xf numFmtId="0" fontId="22" fillId="3" borderId="27" xfId="3" applyFont="1" applyFill="1" applyBorder="1" applyAlignment="1">
      <alignment horizontal="center" vertical="center"/>
    </xf>
    <xf numFmtId="0" fontId="22" fillId="3" borderId="9" xfId="3" applyFont="1" applyFill="1" applyBorder="1" applyAlignment="1">
      <alignment horizontal="center" vertical="center"/>
    </xf>
    <xf numFmtId="0" fontId="15" fillId="0" borderId="25" xfId="0" applyFont="1" applyBorder="1" applyAlignment="1">
      <alignment horizontal="left"/>
    </xf>
    <xf numFmtId="0" fontId="19" fillId="0" borderId="27"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28" xfId="0" applyFont="1" applyFill="1" applyBorder="1" applyAlignment="1">
      <alignment horizontal="left" vertical="top" wrapText="1"/>
    </xf>
    <xf numFmtId="0" fontId="11" fillId="3" borderId="0" xfId="3" quotePrefix="1" applyFont="1" applyFill="1" applyAlignment="1">
      <alignment horizontal="left" vertical="center" wrapText="1"/>
    </xf>
    <xf numFmtId="16" fontId="12" fillId="0" borderId="0" xfId="0" quotePrefix="1" applyNumberFormat="1" applyFont="1" applyAlignment="1">
      <alignment horizontal="left"/>
    </xf>
    <xf numFmtId="0" fontId="14" fillId="0" borderId="7" xfId="0" applyFont="1" applyBorder="1" applyAlignment="1">
      <alignment horizontal="center" vertical="center"/>
    </xf>
    <xf numFmtId="0" fontId="14" fillId="0" borderId="0" xfId="0" applyFont="1" applyAlignment="1">
      <alignment horizontal="center" vertical="center"/>
    </xf>
    <xf numFmtId="0" fontId="12" fillId="0" borderId="0" xfId="0" applyFont="1" applyAlignment="1">
      <alignment horizontal="center"/>
    </xf>
    <xf numFmtId="0" fontId="12" fillId="0" borderId="0" xfId="0" quotePrefix="1" applyFont="1" applyAlignment="1">
      <alignment horizontal="left"/>
    </xf>
    <xf numFmtId="0" fontId="15" fillId="0" borderId="0"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quotePrefix="1" applyFont="1" applyAlignment="1">
      <alignment horizontal="left"/>
    </xf>
    <xf numFmtId="0" fontId="15" fillId="0" borderId="15" xfId="0" quotePrefix="1" applyFont="1" applyBorder="1" applyAlignment="1">
      <alignment horizontal="left"/>
    </xf>
    <xf numFmtId="0" fontId="23" fillId="0" borderId="11" xfId="0" applyFont="1" applyFill="1" applyBorder="1" applyAlignment="1">
      <alignment horizontal="left" vertical="top" wrapText="1"/>
    </xf>
    <xf numFmtId="0" fontId="23" fillId="0" borderId="12" xfId="0" applyFont="1" applyFill="1" applyBorder="1" applyAlignment="1">
      <alignment horizontal="left" vertical="top" wrapText="1"/>
    </xf>
    <xf numFmtId="0" fontId="23" fillId="0" borderId="13" xfId="0" applyFont="1" applyFill="1" applyBorder="1" applyAlignment="1">
      <alignment horizontal="left" vertical="top" wrapText="1"/>
    </xf>
    <xf numFmtId="0" fontId="11" fillId="3" borderId="0" xfId="3" applyFont="1" applyFill="1" applyAlignment="1">
      <alignment horizontal="left" vertical="center" wrapText="1"/>
    </xf>
    <xf numFmtId="0" fontId="28" fillId="3" borderId="0" xfId="0" applyFont="1" applyFill="1" applyAlignment="1">
      <alignment horizontal="left" vertical="center" wrapText="1"/>
    </xf>
    <xf numFmtId="0" fontId="32" fillId="0" borderId="0" xfId="0" applyFont="1" applyAlignment="1">
      <alignment horizontal="left" vertical="top" wrapText="1"/>
    </xf>
    <xf numFmtId="0" fontId="0" fillId="0" borderId="0" xfId="0" applyBorder="1" applyAlignment="1">
      <alignment horizontal="right"/>
    </xf>
    <xf numFmtId="0" fontId="0" fillId="0" borderId="0" xfId="0" applyFill="1" applyBorder="1" applyAlignment="1">
      <alignment horizontal="right" vertical="center"/>
    </xf>
    <xf numFmtId="0" fontId="19" fillId="0" borderId="0" xfId="0" applyFont="1" applyAlignment="1">
      <alignment horizontal="left"/>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27" fillId="0" borderId="0" xfId="0" applyFont="1" applyAlignment="1">
      <alignment horizontal="left"/>
    </xf>
    <xf numFmtId="0" fontId="0" fillId="0" borderId="7" xfId="0" applyBorder="1" applyAlignment="1">
      <alignment horizontal="right"/>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30" fillId="0" borderId="7" xfId="0" applyFont="1" applyBorder="1" applyAlignment="1">
      <alignment horizontal="right"/>
    </xf>
    <xf numFmtId="0" fontId="30" fillId="0" borderId="0" xfId="0" applyFont="1" applyBorder="1" applyAlignment="1">
      <alignment horizontal="right"/>
    </xf>
    <xf numFmtId="0" fontId="0" fillId="0" borderId="0" xfId="0" applyBorder="1" applyAlignment="1">
      <alignment horizontal="center"/>
    </xf>
    <xf numFmtId="0" fontId="0" fillId="0" borderId="7" xfId="0" applyFill="1" applyBorder="1" applyAlignment="1">
      <alignment horizontal="right"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8" xfId="0" applyFont="1" applyBorder="1" applyAlignment="1">
      <alignment horizontal="center" vertical="center" wrapText="1"/>
    </xf>
    <xf numFmtId="0" fontId="15" fillId="0" borderId="0" xfId="0" applyFont="1" applyAlignment="1">
      <alignment horizontal="left" wrapText="1"/>
    </xf>
    <xf numFmtId="0" fontId="15" fillId="0" borderId="0" xfId="0" applyFont="1" applyAlignment="1">
      <alignment vertical="top" wrapText="1"/>
    </xf>
    <xf numFmtId="0" fontId="0" fillId="0" borderId="7" xfId="0" applyFill="1" applyBorder="1" applyAlignment="1">
      <alignment horizontal="right"/>
    </xf>
    <xf numFmtId="0" fontId="0" fillId="0" borderId="0" xfId="0" applyFill="1" applyBorder="1" applyAlignment="1">
      <alignment horizontal="right"/>
    </xf>
    <xf numFmtId="0" fontId="22" fillId="3" borderId="0" xfId="0" applyFont="1" applyFill="1" applyAlignment="1">
      <alignment horizontal="center" vertical="center" wrapText="1"/>
    </xf>
    <xf numFmtId="0" fontId="17" fillId="3" borderId="0" xfId="0" applyFont="1" applyFill="1" applyAlignment="1">
      <alignment horizontal="left"/>
    </xf>
    <xf numFmtId="0" fontId="17" fillId="3" borderId="0" xfId="0" applyFont="1" applyFill="1" applyAlignment="1">
      <alignment horizontal="left" wrapText="1"/>
    </xf>
    <xf numFmtId="0" fontId="13" fillId="4" borderId="29"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5" fillId="0" borderId="0" xfId="0" applyFont="1" applyFill="1" applyAlignment="1">
      <alignment horizontal="left" vertical="center" wrapText="1"/>
    </xf>
    <xf numFmtId="0" fontId="15" fillId="0" borderId="0" xfId="0" applyFont="1" applyFill="1" applyAlignment="1">
      <alignment horizontal="left" vertical="top" wrapText="1"/>
    </xf>
    <xf numFmtId="0" fontId="0" fillId="0" borderId="0" xfId="0" applyBorder="1" applyAlignment="1">
      <alignment horizontal="right" vertical="center"/>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22" fillId="3" borderId="0" xfId="3" applyFont="1" applyFill="1" applyAlignment="1">
      <alignment horizontal="center" vertical="center" wrapText="1"/>
    </xf>
  </cellXfs>
  <cellStyles count="4">
    <cellStyle name="Lien hypertexte" xfId="3" builtinId="8"/>
    <cellStyle name="Monétaire" xfId="1" builtinId="4"/>
    <cellStyle name="Normal" xfId="0" builtinId="0"/>
    <cellStyle name="Pourcentage" xfId="2" builtinId="5"/>
  </cellStyles>
  <dxfs count="0"/>
  <tableStyles count="0" defaultTableStyle="TableStyleMedium2" defaultPivotStyle="PivotStyleLight16"/>
  <colors>
    <mruColors>
      <color rgb="FF0D4174"/>
      <color rgb="FFFAC230"/>
      <color rgb="FF8EC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16" fmlaLink="Annexes!$F$5" fmlaRange="Annexes!$B$4:$B$65" noThreeD="1" sel="1" val="0"/>
</file>

<file path=xl/ctrlProps/ctrlProp2.xml><?xml version="1.0" encoding="utf-8"?>
<formControlPr xmlns="http://schemas.microsoft.com/office/spreadsheetml/2009/9/main" objectType="Drop" dropStyle="combo" dx="16" fmlaLink="Annexes!$F$7" fmlaRange="Annexes!$D$4:$D$91" noThreeD="1" sel="1" val="0"/>
</file>

<file path=xl/ctrlProps/ctrlProp3.xml><?xml version="1.0" encoding="utf-8"?>
<formControlPr xmlns="http://schemas.microsoft.com/office/spreadsheetml/2009/9/main" objectType="CheckBox" fmlaLink="Annexes!$M$5" lockText="1" noThreeD="1"/>
</file>

<file path=xl/ctrlProps/ctrlProp4.xml><?xml version="1.0" encoding="utf-8"?>
<formControlPr xmlns="http://schemas.microsoft.com/office/spreadsheetml/2009/9/main" objectType="CheckBox" fmlaLink="Annexes!$M$9" lockText="1" noThreeD="1"/>
</file>

<file path=xl/ctrlProps/ctrlProp5.xml><?xml version="1.0" encoding="utf-8"?>
<formControlPr xmlns="http://schemas.microsoft.com/office/spreadsheetml/2009/9/main" objectType="Drop" dropStyle="combo" dx="16" fmlaLink="Annexes!$O$5" fmlaRange="Annexes!$I$4:$I$10" noThreeD="1" sel="1" val="0"/>
</file>

<file path=xl/ctrlProps/ctrlProp6.xml><?xml version="1.0" encoding="utf-8"?>
<formControlPr xmlns="http://schemas.microsoft.com/office/spreadsheetml/2009/9/main" objectType="Drop" dropStyle="combo" dx="16" fmlaLink="Annexes!$Q$5" fmlaRange="Annexes!$J$4:$J$35" noThreeD="1" sel="1" val="0"/>
</file>

<file path=xl/ctrlProps/ctrlProp7.xml><?xml version="1.0" encoding="utf-8"?>
<formControlPr xmlns="http://schemas.microsoft.com/office/spreadsheetml/2009/9/main" objectType="CheckBox" fmlaLink="Annexes!$M$7"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arcolib.fr/" TargetMode="External"/><Relationship Id="rId5" Type="http://schemas.openxmlformats.org/officeDocument/2006/relationships/image" Target="../media/image3.png"/><Relationship Id="rId4" Type="http://schemas.openxmlformats.org/officeDocument/2006/relationships/hyperlink" Target="mailto:documentation@arcolib.fr"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arcolib.fr/" TargetMode="External"/><Relationship Id="rId4" Type="http://schemas.openxmlformats.org/officeDocument/2006/relationships/hyperlink" Target="https://www.impots.gouv.fr/portail/files/media/cabcom/covid19/fonds_soutien_pas_a_pas_tpe_v7.pdf"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rcolib.fr/"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14</xdr:row>
          <xdr:rowOff>0</xdr:rowOff>
        </xdr:from>
        <xdr:to>
          <xdr:col>15</xdr:col>
          <xdr:colOff>800100</xdr:colOff>
          <xdr:row>15</xdr:row>
          <xdr:rowOff>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0</xdr:rowOff>
        </xdr:from>
        <xdr:to>
          <xdr:col>15</xdr:col>
          <xdr:colOff>809625</xdr:colOff>
          <xdr:row>17</xdr:row>
          <xdr:rowOff>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0</xdr:rowOff>
        </xdr:from>
        <xdr:to>
          <xdr:col>9</xdr:col>
          <xdr:colOff>676275</xdr:colOff>
          <xdr:row>24</xdr:row>
          <xdr:rowOff>0</xdr:rowOff>
        </xdr:to>
        <xdr:sp macro="" textlink="">
          <xdr:nvSpPr>
            <xdr:cNvPr id="2054" name="Check Box 6" descr="Interdiction d'accueil du public (du ... au ...)"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9525</xdr:rowOff>
        </xdr:from>
        <xdr:to>
          <xdr:col>9</xdr:col>
          <xdr:colOff>685800</xdr:colOff>
          <xdr:row>20</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26</xdr:row>
          <xdr:rowOff>180975</xdr:rowOff>
        </xdr:from>
        <xdr:to>
          <xdr:col>12</xdr:col>
          <xdr:colOff>800100</xdr:colOff>
          <xdr:row>28</xdr:row>
          <xdr:rowOff>9525</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27</xdr:row>
          <xdr:rowOff>9525</xdr:rowOff>
        </xdr:from>
        <xdr:to>
          <xdr:col>15</xdr:col>
          <xdr:colOff>790575</xdr:colOff>
          <xdr:row>28</xdr:row>
          <xdr:rowOff>9525</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9525</xdr:rowOff>
        </xdr:from>
        <xdr:to>
          <xdr:col>9</xdr:col>
          <xdr:colOff>704850</xdr:colOff>
          <xdr:row>36</xdr:row>
          <xdr:rowOff>180975</xdr:rowOff>
        </xdr:to>
        <xdr:sp macro="" textlink="">
          <xdr:nvSpPr>
            <xdr:cNvPr id="2058" name="Check Box 10" descr="Interdiction d'accueil du public (du ... au ...)"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76200</xdr:colOff>
      <xdr:row>1</xdr:row>
      <xdr:rowOff>38100</xdr:rowOff>
    </xdr:from>
    <xdr:to>
      <xdr:col>6</xdr:col>
      <xdr:colOff>219075</xdr:colOff>
      <xdr:row>6</xdr:row>
      <xdr:rowOff>166620</xdr:rowOff>
    </xdr:to>
    <xdr:pic>
      <xdr:nvPicPr>
        <xdr:cNvPr id="11" name="Image 10">
          <a:hlinkClick xmlns:r="http://schemas.openxmlformats.org/officeDocument/2006/relationships" r:id="rId1"/>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stretch>
          <a:fillRect/>
        </a:stretch>
      </xdr:blipFill>
      <xdr:spPr>
        <a:xfrm>
          <a:off x="685800" y="238125"/>
          <a:ext cx="2257425" cy="1081020"/>
        </a:xfrm>
        <a:prstGeom prst="rect">
          <a:avLst/>
        </a:prstGeom>
      </xdr:spPr>
    </xdr:pic>
    <xdr:clientData/>
  </xdr:twoCellAnchor>
  <xdr:twoCellAnchor editAs="oneCell">
    <xdr:from>
      <xdr:col>19</xdr:col>
      <xdr:colOff>438150</xdr:colOff>
      <xdr:row>21</xdr:row>
      <xdr:rowOff>19050</xdr:rowOff>
    </xdr:from>
    <xdr:to>
      <xdr:col>24</xdr:col>
      <xdr:colOff>523375</xdr:colOff>
      <xdr:row>70</xdr:row>
      <xdr:rowOff>8436</xdr:rowOff>
    </xdr:to>
    <xdr:pic>
      <xdr:nvPicPr>
        <xdr:cNvPr id="12" name="Imag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10858500" y="4200525"/>
          <a:ext cx="4000000" cy="8714286"/>
        </a:xfrm>
        <a:prstGeom prst="rect">
          <a:avLst/>
        </a:prstGeom>
      </xdr:spPr>
    </xdr:pic>
    <xdr:clientData/>
  </xdr:twoCellAnchor>
  <xdr:twoCellAnchor>
    <xdr:from>
      <xdr:col>23</xdr:col>
      <xdr:colOff>285750</xdr:colOff>
      <xdr:row>19</xdr:row>
      <xdr:rowOff>9525</xdr:rowOff>
    </xdr:from>
    <xdr:to>
      <xdr:col>27</xdr:col>
      <xdr:colOff>476250</xdr:colOff>
      <xdr:row>24</xdr:row>
      <xdr:rowOff>38099</xdr:rowOff>
    </xdr:to>
    <xdr:sp macro="" textlink="">
      <xdr:nvSpPr>
        <xdr:cNvPr id="16" name="Bulle ronde 15">
          <a:hlinkClick xmlns:r="http://schemas.openxmlformats.org/officeDocument/2006/relationships" r:id="rId4"/>
          <a:extLst>
            <a:ext uri="{FF2B5EF4-FFF2-40B4-BE49-F238E27FC236}">
              <a16:creationId xmlns:a16="http://schemas.microsoft.com/office/drawing/2014/main" id="{00000000-0008-0000-0000-000010000000}"/>
            </a:ext>
          </a:extLst>
        </xdr:cNvPr>
        <xdr:cNvSpPr/>
      </xdr:nvSpPr>
      <xdr:spPr>
        <a:xfrm>
          <a:off x="13906500" y="3790950"/>
          <a:ext cx="2838450" cy="1019174"/>
        </a:xfrm>
        <a:prstGeom prst="wedgeEllipseCallout">
          <a:avLst>
            <a:gd name="adj1" fmla="val -49271"/>
            <a:gd name="adj2" fmla="val 65928"/>
          </a:avLst>
        </a:prstGeom>
        <a:solidFill>
          <a:srgbClr val="0D417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lt1"/>
              </a:solidFill>
              <a:effectLst/>
              <a:latin typeface="+mn-lt"/>
              <a:ea typeface="+mn-ea"/>
              <a:cs typeface="+mn-cs"/>
            </a:rPr>
            <a:t>Une question ? documentation@arcolib.fr</a:t>
          </a:r>
          <a:endParaRPr lang="fr-FR" sz="1200">
            <a:effectLst/>
          </a:endParaRPr>
        </a:p>
      </xdr:txBody>
    </xdr:sp>
    <xdr:clientData/>
  </xdr:twoCellAnchor>
  <xdr:twoCellAnchor>
    <xdr:from>
      <xdr:col>1</xdr:col>
      <xdr:colOff>361950</xdr:colOff>
      <xdr:row>19</xdr:row>
      <xdr:rowOff>133350</xdr:rowOff>
    </xdr:from>
    <xdr:to>
      <xdr:col>1</xdr:col>
      <xdr:colOff>438150</xdr:colOff>
      <xdr:row>37</xdr:row>
      <xdr:rowOff>38100</xdr:rowOff>
    </xdr:to>
    <xdr:sp macro="" textlink="">
      <xdr:nvSpPr>
        <xdr:cNvPr id="2" name="Accolade ouvrante 1">
          <a:extLst>
            <a:ext uri="{FF2B5EF4-FFF2-40B4-BE49-F238E27FC236}">
              <a16:creationId xmlns:a16="http://schemas.microsoft.com/office/drawing/2014/main" id="{00000000-0008-0000-0000-000002000000}"/>
            </a:ext>
          </a:extLst>
        </xdr:cNvPr>
        <xdr:cNvSpPr/>
      </xdr:nvSpPr>
      <xdr:spPr>
        <a:xfrm>
          <a:off x="971550" y="3619500"/>
          <a:ext cx="76200" cy="2266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0</xdr:col>
      <xdr:colOff>0</xdr:colOff>
      <xdr:row>19</xdr:row>
      <xdr:rowOff>180975</xdr:rowOff>
    </xdr:from>
    <xdr:to>
      <xdr:col>1</xdr:col>
      <xdr:colOff>457200</xdr:colOff>
      <xdr:row>22</xdr:row>
      <xdr:rowOff>114300</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3962400"/>
          <a:ext cx="106680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314325</xdr:colOff>
      <xdr:row>0</xdr:row>
      <xdr:rowOff>95250</xdr:rowOff>
    </xdr:from>
    <xdr:to>
      <xdr:col>4</xdr:col>
      <xdr:colOff>381000</xdr:colOff>
      <xdr:row>6</xdr:row>
      <xdr:rowOff>33270</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14325" y="95250"/>
          <a:ext cx="2257425" cy="1081020"/>
        </a:xfrm>
        <a:prstGeom prst="rect">
          <a:avLst/>
        </a:prstGeom>
      </xdr:spPr>
    </xdr:pic>
    <xdr:clientData/>
  </xdr:twoCellAnchor>
  <xdr:twoCellAnchor editAs="oneCell">
    <xdr:from>
      <xdr:col>31</xdr:col>
      <xdr:colOff>114300</xdr:colOff>
      <xdr:row>1</xdr:row>
      <xdr:rowOff>28575</xdr:rowOff>
    </xdr:from>
    <xdr:to>
      <xdr:col>38</xdr:col>
      <xdr:colOff>256490</xdr:colOff>
      <xdr:row>118</xdr:row>
      <xdr:rowOff>46544</xdr:rowOff>
    </xdr:to>
    <xdr:pic>
      <xdr:nvPicPr>
        <xdr:cNvPr id="6" name="Image 5"/>
        <xdr:cNvPicPr>
          <a:picLocks noChangeAspect="1"/>
        </xdr:cNvPicPr>
      </xdr:nvPicPr>
      <xdr:blipFill>
        <a:blip xmlns:r="http://schemas.openxmlformats.org/officeDocument/2006/relationships" r:embed="rId3"/>
        <a:stretch>
          <a:fillRect/>
        </a:stretch>
      </xdr:blipFill>
      <xdr:spPr>
        <a:xfrm>
          <a:off x="19059525" y="219075"/>
          <a:ext cx="5476190" cy="8647619"/>
        </a:xfrm>
        <a:prstGeom prst="rect">
          <a:avLst/>
        </a:prstGeom>
      </xdr:spPr>
    </xdr:pic>
    <xdr:clientData/>
  </xdr:twoCellAnchor>
  <xdr:twoCellAnchor>
    <xdr:from>
      <xdr:col>16</xdr:col>
      <xdr:colOff>466724</xdr:colOff>
      <xdr:row>5</xdr:row>
      <xdr:rowOff>28575</xdr:rowOff>
    </xdr:from>
    <xdr:to>
      <xdr:col>32</xdr:col>
      <xdr:colOff>200024</xdr:colOff>
      <xdr:row>12</xdr:row>
      <xdr:rowOff>9524</xdr:rowOff>
    </xdr:to>
    <xdr:sp macro="" textlink="">
      <xdr:nvSpPr>
        <xdr:cNvPr id="8" name="Bulle ronde 7">
          <a:hlinkClick xmlns:r="http://schemas.openxmlformats.org/officeDocument/2006/relationships" r:id="rId4"/>
          <a:extLst>
            <a:ext uri="{FF2B5EF4-FFF2-40B4-BE49-F238E27FC236}">
              <a16:creationId xmlns:a16="http://schemas.microsoft.com/office/drawing/2014/main" id="{00000000-0008-0000-0000-000010000000}"/>
            </a:ext>
          </a:extLst>
        </xdr:cNvPr>
        <xdr:cNvSpPr/>
      </xdr:nvSpPr>
      <xdr:spPr>
        <a:xfrm>
          <a:off x="10363199" y="981075"/>
          <a:ext cx="2524125" cy="1333499"/>
        </a:xfrm>
        <a:prstGeom prst="wedgeEllipseCallout">
          <a:avLst>
            <a:gd name="adj1" fmla="val 47709"/>
            <a:gd name="adj2" fmla="val 51909"/>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lt1"/>
              </a:solidFill>
              <a:effectLst/>
              <a:latin typeface="+mn-lt"/>
              <a:ea typeface="+mn-ea"/>
              <a:cs typeface="+mn-cs"/>
            </a:rPr>
            <a:t>Pour demander effectivement l'aide, nous vous laissons le soin de vous diriger vers la</a:t>
          </a:r>
          <a:r>
            <a:rPr lang="fr-FR" sz="1100" b="1" baseline="0">
              <a:solidFill>
                <a:schemeClr val="lt1"/>
              </a:solidFill>
              <a:effectLst/>
              <a:latin typeface="+mn-lt"/>
              <a:ea typeface="+mn-ea"/>
              <a:cs typeface="+mn-cs"/>
            </a:rPr>
            <a:t> procédure </a:t>
          </a:r>
          <a:r>
            <a:rPr lang="fr-FR" sz="1100" b="1">
              <a:solidFill>
                <a:schemeClr val="lt1"/>
              </a:solidFill>
              <a:effectLst/>
              <a:latin typeface="+mn-lt"/>
              <a:ea typeface="+mn-ea"/>
              <a:cs typeface="+mn-cs"/>
            </a:rPr>
            <a:t> en</a:t>
          </a:r>
          <a:r>
            <a:rPr lang="fr-FR" sz="1100" b="1" baseline="0">
              <a:solidFill>
                <a:schemeClr val="lt1"/>
              </a:solidFill>
              <a:effectLst/>
              <a:latin typeface="+mn-lt"/>
              <a:ea typeface="+mn-ea"/>
              <a:cs typeface="+mn-cs"/>
            </a:rPr>
            <a:t> cliquant ici</a:t>
          </a:r>
          <a:endParaRPr lang="fr-FR" sz="12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0</xdr:row>
      <xdr:rowOff>95250</xdr:rowOff>
    </xdr:from>
    <xdr:to>
      <xdr:col>4</xdr:col>
      <xdr:colOff>381000</xdr:colOff>
      <xdr:row>6</xdr:row>
      <xdr:rowOff>33270</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314325" y="95250"/>
          <a:ext cx="2257425" cy="1081020"/>
        </a:xfrm>
        <a:prstGeom prst="rect">
          <a:avLst/>
        </a:prstGeom>
      </xdr:spPr>
    </xdr:pic>
    <xdr:clientData/>
  </xdr:twoCellAnchor>
  <xdr:twoCellAnchor editAs="oneCell">
    <xdr:from>
      <xdr:col>0</xdr:col>
      <xdr:colOff>314325</xdr:colOff>
      <xdr:row>0</xdr:row>
      <xdr:rowOff>95250</xdr:rowOff>
    </xdr:from>
    <xdr:to>
      <xdr:col>4</xdr:col>
      <xdr:colOff>381000</xdr:colOff>
      <xdr:row>6</xdr:row>
      <xdr:rowOff>33270</xdr:rowOff>
    </xdr:to>
    <xdr:pic>
      <xdr:nvPicPr>
        <xdr:cNvPr id="3" name="Image 2">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14325" y="95250"/>
          <a:ext cx="2257425" cy="1081020"/>
        </a:xfrm>
        <a:prstGeom prst="rect">
          <a:avLst/>
        </a:prstGeom>
      </xdr:spPr>
    </xdr:pic>
    <xdr:clientData/>
  </xdr:twoCellAnchor>
  <xdr:twoCellAnchor editAs="oneCell">
    <xdr:from>
      <xdr:col>0</xdr:col>
      <xdr:colOff>314325</xdr:colOff>
      <xdr:row>0</xdr:row>
      <xdr:rowOff>95250</xdr:rowOff>
    </xdr:from>
    <xdr:to>
      <xdr:col>4</xdr:col>
      <xdr:colOff>381000</xdr:colOff>
      <xdr:row>6</xdr:row>
      <xdr:rowOff>33270</xdr:rowOff>
    </xdr:to>
    <xdr:pic>
      <xdr:nvPicPr>
        <xdr:cNvPr id="6" name="Image 5">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14325" y="95250"/>
          <a:ext cx="2257425" cy="1081020"/>
        </a:xfrm>
        <a:prstGeom prst="rect">
          <a:avLst/>
        </a:prstGeom>
      </xdr:spPr>
    </xdr:pic>
    <xdr:clientData/>
  </xdr:twoCellAnchor>
  <xdr:twoCellAnchor editAs="oneCell">
    <xdr:from>
      <xdr:col>0</xdr:col>
      <xdr:colOff>314325</xdr:colOff>
      <xdr:row>0</xdr:row>
      <xdr:rowOff>95250</xdr:rowOff>
    </xdr:from>
    <xdr:to>
      <xdr:col>4</xdr:col>
      <xdr:colOff>381000</xdr:colOff>
      <xdr:row>6</xdr:row>
      <xdr:rowOff>33270</xdr:rowOff>
    </xdr:to>
    <xdr:pic>
      <xdr:nvPicPr>
        <xdr:cNvPr id="5" name="Image 4">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14325" y="95250"/>
          <a:ext cx="2257425" cy="1081020"/>
        </a:xfrm>
        <a:prstGeom prst="rect">
          <a:avLst/>
        </a:prstGeom>
      </xdr:spPr>
    </xdr:pic>
    <xdr:clientData/>
  </xdr:twoCellAnchor>
  <xdr:twoCellAnchor editAs="oneCell">
    <xdr:from>
      <xdr:col>0</xdr:col>
      <xdr:colOff>314325</xdr:colOff>
      <xdr:row>0</xdr:row>
      <xdr:rowOff>95250</xdr:rowOff>
    </xdr:from>
    <xdr:to>
      <xdr:col>4</xdr:col>
      <xdr:colOff>381000</xdr:colOff>
      <xdr:row>6</xdr:row>
      <xdr:rowOff>33270</xdr:rowOff>
    </xdr:to>
    <xdr:pic>
      <xdr:nvPicPr>
        <xdr:cNvPr id="9" name="Image 8">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14325" y="95250"/>
          <a:ext cx="2257425" cy="1081020"/>
        </a:xfrm>
        <a:prstGeom prst="rect">
          <a:avLst/>
        </a:prstGeom>
      </xdr:spPr>
    </xdr:pic>
    <xdr:clientData/>
  </xdr:twoCellAnchor>
  <xdr:twoCellAnchor editAs="oneCell">
    <xdr:from>
      <xdr:col>0</xdr:col>
      <xdr:colOff>314325</xdr:colOff>
      <xdr:row>0</xdr:row>
      <xdr:rowOff>95250</xdr:rowOff>
    </xdr:from>
    <xdr:to>
      <xdr:col>4</xdr:col>
      <xdr:colOff>381000</xdr:colOff>
      <xdr:row>6</xdr:row>
      <xdr:rowOff>33270</xdr:rowOff>
    </xdr:to>
    <xdr:pic>
      <xdr:nvPicPr>
        <xdr:cNvPr id="12" name="Image 1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14325" y="95250"/>
          <a:ext cx="2257425" cy="1081020"/>
        </a:xfrm>
        <a:prstGeom prst="rect">
          <a:avLst/>
        </a:prstGeom>
      </xdr:spPr>
    </xdr:pic>
    <xdr:clientData/>
  </xdr:twoCellAnchor>
  <xdr:twoCellAnchor editAs="oneCell">
    <xdr:from>
      <xdr:col>0</xdr:col>
      <xdr:colOff>314325</xdr:colOff>
      <xdr:row>0</xdr:row>
      <xdr:rowOff>95250</xdr:rowOff>
    </xdr:from>
    <xdr:to>
      <xdr:col>4</xdr:col>
      <xdr:colOff>381000</xdr:colOff>
      <xdr:row>6</xdr:row>
      <xdr:rowOff>33270</xdr:rowOff>
    </xdr:to>
    <xdr:pic>
      <xdr:nvPicPr>
        <xdr:cNvPr id="8" name="Image 7">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14325" y="95250"/>
          <a:ext cx="2257425" cy="1081020"/>
        </a:xfrm>
        <a:prstGeom prst="rect">
          <a:avLst/>
        </a:prstGeom>
      </xdr:spPr>
    </xdr:pic>
    <xdr:clientData/>
  </xdr:twoCellAnchor>
  <xdr:twoCellAnchor editAs="oneCell">
    <xdr:from>
      <xdr:col>0</xdr:col>
      <xdr:colOff>314325</xdr:colOff>
      <xdr:row>0</xdr:row>
      <xdr:rowOff>95250</xdr:rowOff>
    </xdr:from>
    <xdr:to>
      <xdr:col>4</xdr:col>
      <xdr:colOff>381000</xdr:colOff>
      <xdr:row>6</xdr:row>
      <xdr:rowOff>33270</xdr:rowOff>
    </xdr:to>
    <xdr:pic>
      <xdr:nvPicPr>
        <xdr:cNvPr id="10" name="Image 9">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14325" y="95250"/>
          <a:ext cx="2257425" cy="1081020"/>
        </a:xfrm>
        <a:prstGeom prst="rect">
          <a:avLst/>
        </a:prstGeom>
      </xdr:spPr>
    </xdr:pic>
    <xdr:clientData/>
  </xdr:twoCellAnchor>
  <xdr:twoCellAnchor editAs="oneCell">
    <xdr:from>
      <xdr:col>0</xdr:col>
      <xdr:colOff>314325</xdr:colOff>
      <xdr:row>0</xdr:row>
      <xdr:rowOff>95250</xdr:rowOff>
    </xdr:from>
    <xdr:to>
      <xdr:col>4</xdr:col>
      <xdr:colOff>381000</xdr:colOff>
      <xdr:row>6</xdr:row>
      <xdr:rowOff>33270</xdr:rowOff>
    </xdr:to>
    <xdr:pic>
      <xdr:nvPicPr>
        <xdr:cNvPr id="14" name="Image 13">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314325" y="95250"/>
          <a:ext cx="2257425" cy="108102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3" Type="http://schemas.openxmlformats.org/officeDocument/2006/relationships/hyperlink" Target="https://www.legifrance.gouv.fr/jorf/id/JORFTEXT000042486721" TargetMode="External"/><Relationship Id="rId7" Type="http://schemas.openxmlformats.org/officeDocument/2006/relationships/drawing" Target="../drawings/drawing1.xml"/><Relationship Id="rId12" Type="http://schemas.openxmlformats.org/officeDocument/2006/relationships/ctrlProp" Target="../ctrlProps/ctrlProp4.xml"/><Relationship Id="rId2" Type="http://schemas.openxmlformats.org/officeDocument/2006/relationships/hyperlink" Target="https://www.arcolib.fr/content/second-confinement-national-nouvelles-mesures-exceptionnelles-du-fonds-de-solidarit&#233;" TargetMode="External"/><Relationship Id="rId1" Type="http://schemas.openxmlformats.org/officeDocument/2006/relationships/hyperlink" Target="https://www.arcolib.fr/sites/default/files/fichiersbasedoc/RESUME_Decret_2020_1328_02112020.pdf" TargetMode="External"/><Relationship Id="rId6" Type="http://schemas.openxmlformats.org/officeDocument/2006/relationships/printerSettings" Target="../printerSettings/printerSettings1.bin"/><Relationship Id="rId11" Type="http://schemas.openxmlformats.org/officeDocument/2006/relationships/ctrlProp" Target="../ctrlProps/ctrlProp3.xml"/><Relationship Id="rId5" Type="http://schemas.openxmlformats.org/officeDocument/2006/relationships/hyperlink" Target="https://www.arcolib.fr/sites/default/files/fichiersbasedoc/RESUME_Decret_2020_1328_02112020.pdf" TargetMode="External"/><Relationship Id="rId15" Type="http://schemas.openxmlformats.org/officeDocument/2006/relationships/ctrlProp" Target="../ctrlProps/ctrlProp7.xml"/><Relationship Id="rId10" Type="http://schemas.openxmlformats.org/officeDocument/2006/relationships/ctrlProp" Target="../ctrlProps/ctrlProp2.xml"/><Relationship Id="rId4" Type="http://schemas.openxmlformats.org/officeDocument/2006/relationships/hyperlink" Target="https://www.legifrance.gouv.fr/jorf/id/JORFTEXT000042475143" TargetMode="External"/><Relationship Id="rId9" Type="http://schemas.openxmlformats.org/officeDocument/2006/relationships/ctrlProp" Target="../ctrlProps/ctrlProp1.xml"/><Relationship Id="rId14"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legifrance.gouv.fr/jorf/id/JORFTEXT000042486721"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egifrance.gouv.fr/affichTexte.do?cidTexte=JORFTEXT000000607662&amp;categorieLien=cid" TargetMode="External"/><Relationship Id="rId1" Type="http://schemas.openxmlformats.org/officeDocument/2006/relationships/hyperlink" Target="https://www.legifrance.gouv.fr/affichCodeArticle.do?cidTexte=LEGITEXT000006072050&amp;idArticle=LEGIARTI000006902603&amp;dateTexte=&amp;categorieLien=ci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0D4174"/>
  </sheetPr>
  <dimension ref="A1:AC141"/>
  <sheetViews>
    <sheetView showGridLines="0" tabSelected="1" zoomScaleNormal="100" workbookViewId="0">
      <selection activeCell="K2" sqref="K2:P4"/>
    </sheetView>
  </sheetViews>
  <sheetFormatPr baseColWidth="10" defaultColWidth="9.140625" defaultRowHeight="15"/>
  <cols>
    <col min="2" max="2" width="7.7109375" customWidth="1"/>
    <col min="3" max="4" width="2.85546875" customWidth="1"/>
    <col min="9" max="9" width="14.28515625" bestFit="1" customWidth="1"/>
    <col min="10" max="10" width="11.85546875" bestFit="1" customWidth="1"/>
    <col min="13" max="13" width="12.85546875" bestFit="1" customWidth="1"/>
    <col min="14" max="14" width="3.85546875" customWidth="1"/>
    <col min="15" max="15" width="4.140625" customWidth="1"/>
    <col min="16" max="16" width="12.85546875" bestFit="1" customWidth="1"/>
    <col min="17" max="17" width="2.5703125" customWidth="1"/>
    <col min="18" max="18" width="12.140625" customWidth="1"/>
    <col min="19" max="19" width="4.28515625" customWidth="1"/>
    <col min="20" max="20" width="23.28515625" customWidth="1"/>
    <col min="21" max="21" width="11.7109375" customWidth="1"/>
    <col min="22" max="22" width="2.28515625" customWidth="1"/>
    <col min="23" max="25" width="10.7109375" bestFit="1" customWidth="1"/>
  </cols>
  <sheetData>
    <row r="1" spans="2:25" ht="15.75" thickBot="1">
      <c r="B1" s="51"/>
      <c r="C1" s="51"/>
      <c r="D1" s="51"/>
      <c r="E1" s="51"/>
      <c r="F1" s="51"/>
      <c r="G1" s="51"/>
      <c r="H1" s="51"/>
      <c r="I1" s="51"/>
      <c r="J1" s="51"/>
      <c r="K1" s="51"/>
      <c r="L1" s="51"/>
      <c r="M1" s="51"/>
      <c r="N1" s="51"/>
      <c r="O1" s="51"/>
      <c r="P1" s="51"/>
    </row>
    <row r="2" spans="2:25" ht="15" customHeight="1">
      <c r="B2" s="51"/>
      <c r="C2" s="51"/>
      <c r="D2" s="51"/>
      <c r="E2" s="51"/>
      <c r="F2" s="51"/>
      <c r="G2" s="51"/>
      <c r="H2" s="195" t="s">
        <v>105</v>
      </c>
      <c r="I2" s="196"/>
      <c r="J2" s="197"/>
      <c r="K2" s="205"/>
      <c r="L2" s="206"/>
      <c r="M2" s="206"/>
      <c r="N2" s="206"/>
      <c r="O2" s="206"/>
      <c r="P2" s="207"/>
      <c r="S2" s="195" t="s">
        <v>192</v>
      </c>
      <c r="T2" s="196"/>
      <c r="U2" s="196"/>
      <c r="V2" s="197"/>
    </row>
    <row r="3" spans="2:25" ht="15" customHeight="1">
      <c r="B3" s="51"/>
      <c r="C3" s="51"/>
      <c r="D3" s="51"/>
      <c r="E3" s="51"/>
      <c r="F3" s="51"/>
      <c r="G3" s="51"/>
      <c r="H3" s="198"/>
      <c r="I3" s="199"/>
      <c r="J3" s="200"/>
      <c r="K3" s="208"/>
      <c r="L3" s="209"/>
      <c r="M3" s="209"/>
      <c r="N3" s="209"/>
      <c r="O3" s="209"/>
      <c r="P3" s="210"/>
      <c r="S3" s="198"/>
      <c r="T3" s="199"/>
      <c r="U3" s="199"/>
      <c r="V3" s="200"/>
    </row>
    <row r="4" spans="2:25" ht="15" customHeight="1" thickBot="1">
      <c r="B4" s="51"/>
      <c r="C4" s="51"/>
      <c r="D4" s="51"/>
      <c r="E4" s="51"/>
      <c r="F4" s="51"/>
      <c r="G4" s="51"/>
      <c r="H4" s="202"/>
      <c r="I4" s="203"/>
      <c r="J4" s="204"/>
      <c r="K4" s="211"/>
      <c r="L4" s="212"/>
      <c r="M4" s="212"/>
      <c r="N4" s="212"/>
      <c r="O4" s="212"/>
      <c r="P4" s="213"/>
      <c r="S4" s="104"/>
      <c r="T4" s="166" t="s">
        <v>207</v>
      </c>
      <c r="U4" s="167"/>
      <c r="V4" s="103"/>
    </row>
    <row r="5" spans="2:25" ht="15" customHeight="1" thickBot="1">
      <c r="B5" s="51"/>
      <c r="C5" s="51"/>
      <c r="D5" s="51"/>
      <c r="E5" s="51"/>
      <c r="F5" s="51"/>
      <c r="G5" s="51"/>
      <c r="H5" s="52"/>
      <c r="I5" s="52"/>
      <c r="J5" s="52"/>
      <c r="K5" s="53"/>
      <c r="L5" s="53"/>
      <c r="M5" s="53"/>
      <c r="N5" s="53"/>
      <c r="O5" s="53"/>
      <c r="P5" s="53"/>
      <c r="S5" s="104"/>
      <c r="T5" s="188" t="s">
        <v>129</v>
      </c>
      <c r="U5" s="188"/>
      <c r="V5" s="103"/>
    </row>
    <row r="6" spans="2:25" ht="15" customHeight="1" thickBot="1">
      <c r="B6" s="51"/>
      <c r="C6" s="51"/>
      <c r="D6" s="51"/>
      <c r="E6" s="51"/>
      <c r="F6" s="51"/>
      <c r="G6" s="51"/>
      <c r="H6" s="219" t="s">
        <v>208</v>
      </c>
      <c r="I6" s="220"/>
      <c r="J6" s="221"/>
      <c r="K6" s="217"/>
      <c r="L6" s="222"/>
      <c r="M6" s="222"/>
      <c r="N6" s="222"/>
      <c r="O6" s="222"/>
      <c r="P6" s="223"/>
      <c r="S6" s="104"/>
      <c r="T6" s="188"/>
      <c r="U6" s="188"/>
      <c r="V6" s="103"/>
    </row>
    <row r="7" spans="2:25" ht="15.75" thickBot="1">
      <c r="B7" s="51"/>
      <c r="C7" s="51"/>
      <c r="D7" s="51"/>
      <c r="E7" s="51"/>
      <c r="F7" s="51"/>
      <c r="G7" s="51"/>
      <c r="H7" s="51"/>
      <c r="I7" s="51"/>
      <c r="J7" s="51"/>
      <c r="K7" s="51"/>
      <c r="L7" s="51"/>
      <c r="M7" s="51"/>
      <c r="N7" s="51"/>
      <c r="O7" s="51"/>
      <c r="P7" s="51"/>
      <c r="S7" s="105"/>
      <c r="T7" s="106"/>
      <c r="U7" s="106"/>
      <c r="V7" s="107"/>
    </row>
    <row r="8" spans="2:25" ht="15.75" thickBot="1">
      <c r="B8" s="51"/>
      <c r="C8" s="51"/>
      <c r="D8" s="51"/>
      <c r="E8" s="51"/>
      <c r="F8" s="51"/>
      <c r="G8" s="51"/>
      <c r="H8" s="214" t="s">
        <v>106</v>
      </c>
      <c r="I8" s="215"/>
      <c r="J8" s="216"/>
      <c r="K8" s="217"/>
      <c r="L8" s="218"/>
      <c r="M8" s="229" t="s">
        <v>193</v>
      </c>
      <c r="N8" s="189"/>
      <c r="O8" s="189"/>
      <c r="P8" s="189"/>
    </row>
    <row r="9" spans="2:25" ht="23.25" customHeight="1" thickBot="1">
      <c r="B9" s="51"/>
      <c r="C9" s="51"/>
      <c r="D9" s="51"/>
      <c r="E9" s="51"/>
      <c r="F9" s="51"/>
      <c r="G9" s="51"/>
      <c r="H9" s="54"/>
      <c r="I9" s="51"/>
      <c r="J9" s="51"/>
      <c r="K9" s="51"/>
      <c r="L9" s="51"/>
      <c r="M9" s="51"/>
      <c r="N9" s="51"/>
      <c r="O9" s="51"/>
      <c r="P9" s="51"/>
      <c r="S9" s="247" t="s">
        <v>223</v>
      </c>
      <c r="T9" s="247"/>
      <c r="U9" s="247"/>
      <c r="V9" s="247"/>
    </row>
    <row r="10" spans="2:25" ht="15" customHeight="1">
      <c r="B10" s="225" t="s">
        <v>188</v>
      </c>
      <c r="C10" s="226"/>
      <c r="D10" s="226"/>
      <c r="E10" s="226"/>
      <c r="F10" s="226"/>
      <c r="G10" s="243" t="s">
        <v>201</v>
      </c>
      <c r="H10" s="244"/>
      <c r="I10" s="244"/>
      <c r="J10" s="244"/>
      <c r="K10" s="244"/>
      <c r="L10" s="245"/>
      <c r="M10" s="113"/>
      <c r="N10" s="113"/>
      <c r="O10" s="113"/>
      <c r="P10" s="113"/>
      <c r="S10" s="247"/>
      <c r="T10" s="247"/>
      <c r="U10" s="247"/>
      <c r="V10" s="247"/>
    </row>
    <row r="11" spans="2:25" ht="15" customHeight="1" thickBot="1">
      <c r="B11" s="227"/>
      <c r="C11" s="228"/>
      <c r="D11" s="228"/>
      <c r="E11" s="228"/>
      <c r="F11" s="228"/>
      <c r="G11" s="230" t="s">
        <v>187</v>
      </c>
      <c r="H11" s="231"/>
      <c r="I11" s="231"/>
      <c r="J11" s="231"/>
      <c r="K11" s="231"/>
      <c r="L11" s="232"/>
      <c r="M11" s="113"/>
      <c r="N11" s="113"/>
      <c r="O11" s="113"/>
      <c r="P11" s="113"/>
      <c r="S11" s="135"/>
      <c r="T11" s="233" t="s">
        <v>221</v>
      </c>
      <c r="U11" s="246"/>
      <c r="V11" s="135"/>
    </row>
    <row r="12" spans="2:25" ht="15" customHeight="1">
      <c r="B12" s="123"/>
      <c r="C12" s="123"/>
      <c r="D12" s="123"/>
      <c r="E12" s="123"/>
      <c r="F12" s="123"/>
      <c r="G12" s="118"/>
      <c r="H12" s="118"/>
      <c r="I12" s="118"/>
      <c r="J12" s="118"/>
      <c r="K12" s="118"/>
      <c r="L12" s="118"/>
      <c r="M12" s="113"/>
      <c r="N12" s="113"/>
      <c r="O12" s="113"/>
      <c r="P12" s="113"/>
      <c r="S12" s="128"/>
      <c r="T12" s="246"/>
      <c r="U12" s="246"/>
      <c r="V12" s="128"/>
      <c r="W12" s="121"/>
      <c r="X12" s="121"/>
      <c r="Y12" s="121"/>
    </row>
    <row r="13" spans="2:25" ht="15" customHeight="1">
      <c r="B13" s="119"/>
      <c r="C13" s="119"/>
      <c r="D13" s="119"/>
      <c r="E13" s="119"/>
      <c r="F13" s="119"/>
      <c r="G13" s="118"/>
      <c r="H13" s="118"/>
      <c r="I13" s="118"/>
      <c r="J13" s="118"/>
      <c r="K13" s="118"/>
      <c r="L13" s="118"/>
      <c r="M13" s="113"/>
      <c r="N13" s="113"/>
      <c r="O13" s="113"/>
      <c r="P13" s="113"/>
      <c r="S13" s="128"/>
      <c r="T13" s="233" t="s">
        <v>218</v>
      </c>
      <c r="U13" s="233"/>
      <c r="V13" s="128"/>
      <c r="W13" s="121"/>
      <c r="X13" s="121"/>
      <c r="Y13" s="121"/>
    </row>
    <row r="14" spans="2:25" ht="15" customHeight="1">
      <c r="B14" s="78" t="s">
        <v>205</v>
      </c>
      <c r="C14" s="51"/>
      <c r="D14" s="51"/>
      <c r="E14" s="51"/>
      <c r="F14" s="51"/>
      <c r="G14" s="51"/>
      <c r="H14" s="54"/>
      <c r="I14" s="51"/>
      <c r="J14" s="51"/>
      <c r="K14" s="51"/>
      <c r="L14" s="51"/>
      <c r="M14" s="51"/>
      <c r="N14" s="51"/>
      <c r="O14" s="51"/>
      <c r="P14" s="51"/>
      <c r="S14" s="128"/>
      <c r="T14" s="233"/>
      <c r="U14" s="233"/>
      <c r="V14" s="128"/>
    </row>
    <row r="15" spans="2:25" ht="15" customHeight="1">
      <c r="B15" s="194" t="s">
        <v>210</v>
      </c>
      <c r="C15" s="194"/>
      <c r="D15" s="194"/>
      <c r="E15" s="194"/>
      <c r="F15" s="194"/>
      <c r="G15" s="194"/>
      <c r="H15" s="51"/>
      <c r="I15" s="51"/>
      <c r="J15" s="51"/>
      <c r="K15" s="51"/>
      <c r="L15" s="51"/>
      <c r="M15" s="51"/>
      <c r="N15" s="51"/>
      <c r="O15" s="51"/>
      <c r="P15" s="51"/>
      <c r="Q15" s="50"/>
      <c r="R15" s="50"/>
      <c r="S15" s="128"/>
      <c r="T15" s="233"/>
      <c r="U15" s="233"/>
      <c r="V15" s="128"/>
    </row>
    <row r="16" spans="2:25" ht="15" customHeight="1">
      <c r="B16" s="51"/>
      <c r="C16" s="51"/>
      <c r="D16" s="51"/>
      <c r="E16" s="51"/>
      <c r="F16" s="51"/>
      <c r="G16" s="51"/>
      <c r="H16" s="51"/>
      <c r="I16" s="51"/>
      <c r="J16" s="51"/>
      <c r="K16" s="51"/>
      <c r="L16" s="51"/>
      <c r="M16" s="51"/>
      <c r="N16" s="51"/>
      <c r="O16" s="51"/>
      <c r="P16" s="51"/>
      <c r="Q16" s="50"/>
      <c r="R16" s="124"/>
      <c r="S16" s="128"/>
      <c r="T16" s="233" t="s">
        <v>222</v>
      </c>
      <c r="U16" s="233"/>
      <c r="V16" s="127"/>
      <c r="W16" s="5"/>
    </row>
    <row r="17" spans="1:29" ht="15.75" customHeight="1">
      <c r="B17" s="194" t="s">
        <v>209</v>
      </c>
      <c r="C17" s="194"/>
      <c r="D17" s="194"/>
      <c r="E17" s="194"/>
      <c r="F17" s="194"/>
      <c r="G17" s="194"/>
      <c r="H17" s="51"/>
      <c r="I17" s="51"/>
      <c r="J17" s="51"/>
      <c r="K17" s="51"/>
      <c r="L17" s="51"/>
      <c r="M17" s="51"/>
      <c r="N17" s="51"/>
      <c r="O17" s="51"/>
      <c r="P17" s="51"/>
      <c r="Q17" s="39"/>
      <c r="R17" s="39"/>
      <c r="S17" s="127"/>
      <c r="T17" s="233"/>
      <c r="U17" s="233"/>
      <c r="V17" s="127"/>
    </row>
    <row r="18" spans="1:29" ht="15.75">
      <c r="B18" s="51"/>
      <c r="C18" s="51"/>
      <c r="D18" s="51"/>
      <c r="E18" s="187" t="s">
        <v>212</v>
      </c>
      <c r="F18" s="187"/>
      <c r="G18" s="187"/>
      <c r="H18" s="187"/>
      <c r="I18" s="187"/>
      <c r="J18" s="187"/>
      <c r="K18" s="187"/>
      <c r="L18" s="187"/>
      <c r="M18" s="187"/>
      <c r="N18" s="187"/>
      <c r="O18" s="187"/>
      <c r="P18" s="51"/>
      <c r="S18" s="127"/>
      <c r="T18" s="233"/>
      <c r="U18" s="233"/>
      <c r="V18" s="127"/>
    </row>
    <row r="19" spans="1:29" ht="15.75" customHeight="1">
      <c r="B19" s="51"/>
      <c r="C19" s="51"/>
      <c r="D19" s="51"/>
      <c r="E19" s="187" t="str">
        <f>IF(AND(Annexes!F5&gt;1,Annexes!F7&gt;1),"Veuillez-vous assurer qu'il n'y ait qu'une seule activité de sélectionnée entre l'annexe 1 et 2","")</f>
        <v/>
      </c>
      <c r="F19" s="187"/>
      <c r="G19" s="187"/>
      <c r="H19" s="187"/>
      <c r="I19" s="187"/>
      <c r="J19" s="187"/>
      <c r="K19" s="187"/>
      <c r="L19" s="187"/>
      <c r="M19" s="187"/>
      <c r="N19" s="187"/>
      <c r="O19" s="187"/>
      <c r="P19" s="51"/>
      <c r="S19" s="127"/>
      <c r="T19" s="233" t="s">
        <v>227</v>
      </c>
      <c r="U19" s="233"/>
      <c r="V19" s="127"/>
    </row>
    <row r="20" spans="1:29" ht="15.75">
      <c r="B20" s="51"/>
      <c r="C20" s="51"/>
      <c r="D20" s="51"/>
      <c r="E20" s="51"/>
      <c r="F20" s="51"/>
      <c r="G20" s="51"/>
      <c r="H20" s="51"/>
      <c r="I20" s="51"/>
      <c r="J20" s="51"/>
      <c r="K20" s="51"/>
      <c r="L20" s="51"/>
      <c r="M20" s="51"/>
      <c r="N20" s="51"/>
      <c r="O20" s="51"/>
      <c r="P20" s="51"/>
      <c r="S20" s="127"/>
      <c r="T20" s="233"/>
      <c r="U20" s="233"/>
      <c r="V20" s="127"/>
    </row>
    <row r="21" spans="1:29" ht="15.75">
      <c r="B21" s="51"/>
      <c r="C21" s="51"/>
      <c r="D21" s="51"/>
      <c r="E21" s="224" t="s">
        <v>211</v>
      </c>
      <c r="F21" s="224"/>
      <c r="G21" s="224"/>
      <c r="H21" s="224"/>
      <c r="I21" s="224"/>
      <c r="J21" s="224"/>
      <c r="K21" s="224"/>
      <c r="L21" s="51"/>
      <c r="M21" s="51"/>
      <c r="N21" s="51"/>
      <c r="O21" s="51"/>
      <c r="P21" s="51"/>
      <c r="S21" s="127"/>
      <c r="T21" s="233"/>
      <c r="U21" s="233"/>
      <c r="V21" s="127"/>
    </row>
    <row r="22" spans="1:29" ht="15.75">
      <c r="B22" s="51"/>
      <c r="C22" s="51"/>
      <c r="D22" s="51"/>
      <c r="E22" s="248" t="s">
        <v>250</v>
      </c>
      <c r="F22" s="248"/>
      <c r="G22" s="248"/>
      <c r="H22" s="248"/>
      <c r="I22" s="248"/>
      <c r="J22" s="248"/>
      <c r="K22" s="248"/>
      <c r="L22" s="248"/>
      <c r="M22" s="248"/>
      <c r="N22" s="248"/>
      <c r="O22" s="248"/>
      <c r="P22" s="248"/>
      <c r="S22" s="5"/>
      <c r="T22" s="114"/>
      <c r="U22" s="114"/>
      <c r="V22" s="114"/>
    </row>
    <row r="23" spans="1:29" ht="15.75">
      <c r="A23" s="177" t="s">
        <v>196</v>
      </c>
      <c r="B23" s="51"/>
      <c r="C23" s="51"/>
      <c r="D23" s="51"/>
      <c r="E23" s="248"/>
      <c r="F23" s="248"/>
      <c r="G23" s="248"/>
      <c r="H23" s="248"/>
      <c r="I23" s="248"/>
      <c r="J23" s="248"/>
      <c r="K23" s="248"/>
      <c r="L23" s="248"/>
      <c r="M23" s="248"/>
      <c r="N23" s="248"/>
      <c r="O23" s="248"/>
      <c r="P23" s="248"/>
      <c r="S23" s="115"/>
      <c r="T23" s="115"/>
      <c r="U23" s="116"/>
      <c r="V23" s="117"/>
    </row>
    <row r="24" spans="1:29">
      <c r="A24" s="177" t="s">
        <v>197</v>
      </c>
      <c r="B24" s="51"/>
      <c r="C24" s="84"/>
      <c r="D24" s="51"/>
      <c r="E24" s="201" t="s">
        <v>217</v>
      </c>
      <c r="F24" s="201"/>
      <c r="G24" s="201"/>
      <c r="H24" s="201"/>
      <c r="I24" s="201"/>
      <c r="J24" s="201"/>
      <c r="K24" s="55"/>
      <c r="L24" s="55"/>
      <c r="M24" s="55"/>
      <c r="N24" s="55"/>
      <c r="O24" s="55"/>
      <c r="P24" s="55"/>
      <c r="Q24" s="1"/>
      <c r="U24" s="1"/>
    </row>
    <row r="25" spans="1:29" ht="7.5" customHeight="1">
      <c r="A25" s="177"/>
      <c r="B25" s="85"/>
      <c r="C25" s="55"/>
      <c r="D25" s="55"/>
      <c r="E25" s="56"/>
      <c r="F25" s="56"/>
      <c r="G25" s="56"/>
      <c r="H25" s="56"/>
      <c r="I25" s="56"/>
      <c r="J25" s="108"/>
      <c r="K25" s="91"/>
      <c r="L25" s="91"/>
      <c r="M25" s="91"/>
      <c r="N25" s="91"/>
      <c r="O25" s="91"/>
      <c r="P25" s="91"/>
      <c r="Q25" s="92"/>
      <c r="U25" s="1"/>
    </row>
    <row r="26" spans="1:29">
      <c r="A26" s="177" t="s">
        <v>198</v>
      </c>
      <c r="B26" s="85"/>
      <c r="C26" s="55"/>
      <c r="D26" s="55"/>
      <c r="E26" s="56"/>
      <c r="F26" s="56"/>
      <c r="G26" s="56"/>
      <c r="H26" s="56"/>
      <c r="I26" s="56"/>
      <c r="J26" s="56"/>
      <c r="K26" s="51"/>
      <c r="L26" s="51"/>
      <c r="M26" s="109" t="s">
        <v>101</v>
      </c>
      <c r="N26" s="59"/>
      <c r="O26" s="60"/>
      <c r="P26" s="109" t="s">
        <v>102</v>
      </c>
      <c r="Q26" s="90"/>
      <c r="U26" s="1"/>
    </row>
    <row r="27" spans="1:29" ht="6.75" customHeight="1">
      <c r="A27" s="177"/>
      <c r="B27" s="85"/>
      <c r="C27" s="55"/>
      <c r="D27" s="55"/>
      <c r="E27" s="51"/>
      <c r="F27" s="51"/>
      <c r="G27" s="51"/>
      <c r="H27" s="51"/>
      <c r="I27" s="51"/>
      <c r="J27" s="51"/>
      <c r="K27" s="51"/>
      <c r="L27" s="51"/>
      <c r="M27" s="51"/>
      <c r="N27" s="51"/>
      <c r="O27" s="55"/>
      <c r="P27" s="51"/>
      <c r="Q27" s="90"/>
      <c r="R27" s="1"/>
      <c r="U27" s="1"/>
    </row>
    <row r="28" spans="1:29">
      <c r="A28" s="177" t="s">
        <v>199</v>
      </c>
      <c r="B28" s="85"/>
      <c r="C28" s="55"/>
      <c r="D28" s="55"/>
      <c r="E28" s="98" t="s">
        <v>202</v>
      </c>
      <c r="F28" s="51"/>
      <c r="G28" s="51"/>
      <c r="H28" s="51"/>
      <c r="I28" s="51"/>
      <c r="J28" s="51"/>
      <c r="K28" s="51"/>
      <c r="L28" s="51"/>
      <c r="M28" s="51"/>
      <c r="N28" s="51"/>
      <c r="O28" s="55"/>
      <c r="P28" s="51"/>
      <c r="Q28" s="90"/>
      <c r="R28" s="1"/>
      <c r="U28" s="1"/>
    </row>
    <row r="29" spans="1:29">
      <c r="A29" s="177" t="s">
        <v>200</v>
      </c>
      <c r="B29" s="85"/>
      <c r="C29" s="55"/>
      <c r="D29" s="55"/>
      <c r="E29" s="51"/>
      <c r="F29" s="51"/>
      <c r="G29" s="51"/>
      <c r="H29" s="51"/>
      <c r="I29" s="51"/>
      <c r="J29" s="51"/>
      <c r="K29" s="61"/>
      <c r="L29" s="51"/>
      <c r="M29" s="51"/>
      <c r="N29" s="55"/>
      <c r="O29" s="55"/>
      <c r="P29" s="51"/>
      <c r="Q29" s="90"/>
      <c r="U29" s="1"/>
    </row>
    <row r="30" spans="1:29" hidden="1">
      <c r="A30" s="177"/>
      <c r="B30" s="85"/>
      <c r="C30" s="55"/>
      <c r="D30" s="55"/>
      <c r="E30" s="51"/>
      <c r="F30" s="51"/>
      <c r="G30" s="51"/>
      <c r="H30" s="51"/>
      <c r="I30" s="51"/>
      <c r="J30" s="61"/>
      <c r="K30" s="51"/>
      <c r="L30" s="51"/>
      <c r="M30" s="51"/>
      <c r="N30" s="51"/>
      <c r="O30" s="58"/>
      <c r="P30" s="51"/>
      <c r="Q30" s="20"/>
      <c r="U30" s="1"/>
      <c r="AC30" s="25">
        <v>333</v>
      </c>
    </row>
    <row r="31" spans="1:29" hidden="1">
      <c r="A31" s="177"/>
      <c r="B31" s="85"/>
      <c r="C31" s="55"/>
      <c r="D31" s="55"/>
      <c r="E31" s="61" t="s">
        <v>213</v>
      </c>
      <c r="F31" s="56"/>
      <c r="G31" s="56"/>
      <c r="H31" s="56"/>
      <c r="I31" s="56"/>
      <c r="J31" s="61"/>
      <c r="K31" s="51"/>
      <c r="L31" s="51"/>
      <c r="M31" s="51"/>
      <c r="N31" s="55"/>
      <c r="O31" s="58"/>
      <c r="P31" s="51"/>
      <c r="Q31" s="20"/>
      <c r="U31" s="1"/>
    </row>
    <row r="32" spans="1:29" hidden="1">
      <c r="A32" s="177"/>
      <c r="B32" s="85"/>
      <c r="C32" s="55"/>
      <c r="D32" s="55"/>
      <c r="E32" s="51"/>
      <c r="F32" s="51"/>
      <c r="G32" s="51"/>
      <c r="H32" s="51"/>
      <c r="I32" s="51"/>
      <c r="J32" s="61"/>
      <c r="K32" s="51"/>
      <c r="L32" s="51"/>
      <c r="M32" s="51"/>
      <c r="N32" s="51"/>
      <c r="O32" s="58"/>
      <c r="P32" s="51"/>
      <c r="Q32" s="20"/>
      <c r="U32" s="1"/>
    </row>
    <row r="33" spans="1:21" hidden="1">
      <c r="A33" s="177"/>
      <c r="B33" s="85"/>
      <c r="C33" s="55"/>
      <c r="D33" s="55"/>
      <c r="E33" s="51" t="s">
        <v>214</v>
      </c>
      <c r="F33" s="51"/>
      <c r="G33" s="51"/>
      <c r="H33" s="51"/>
      <c r="I33" s="51"/>
      <c r="J33" s="51"/>
      <c r="K33" s="51"/>
      <c r="L33" s="51"/>
      <c r="M33" s="51"/>
      <c r="N33" s="55"/>
      <c r="O33" s="58"/>
      <c r="P33" s="51"/>
      <c r="Q33" s="20"/>
      <c r="U33" s="1"/>
    </row>
    <row r="34" spans="1:21" ht="6.75" customHeight="1">
      <c r="A34" s="177"/>
      <c r="B34" s="85"/>
      <c r="C34" s="86"/>
      <c r="D34" s="84"/>
      <c r="E34" s="84"/>
      <c r="F34" s="84"/>
      <c r="G34" s="84"/>
      <c r="H34" s="84"/>
      <c r="I34" s="84"/>
      <c r="J34" s="84"/>
      <c r="K34" s="87"/>
      <c r="L34" s="84"/>
      <c r="M34" s="84"/>
      <c r="N34" s="84"/>
      <c r="O34" s="84"/>
      <c r="P34" s="84"/>
      <c r="Q34" s="88"/>
      <c r="U34" s="1"/>
    </row>
    <row r="35" spans="1:21">
      <c r="A35" s="120"/>
      <c r="B35" s="51"/>
      <c r="C35" s="51"/>
      <c r="D35" s="51"/>
      <c r="E35" s="51"/>
      <c r="F35" s="51"/>
      <c r="G35" s="51"/>
      <c r="H35" s="51"/>
      <c r="I35" s="51"/>
      <c r="J35" s="51"/>
      <c r="K35" s="61"/>
      <c r="L35" s="51"/>
      <c r="M35" s="51"/>
      <c r="N35" s="51"/>
      <c r="O35" s="51"/>
      <c r="P35" s="51"/>
      <c r="U35" s="1"/>
    </row>
    <row r="36" spans="1:21">
      <c r="A36" s="51"/>
      <c r="B36" s="51"/>
      <c r="C36" s="51"/>
      <c r="D36" s="51"/>
      <c r="E36" s="51"/>
      <c r="F36" s="51"/>
      <c r="G36" s="51"/>
      <c r="H36" s="51"/>
      <c r="I36" s="51"/>
      <c r="J36" s="51"/>
      <c r="K36" s="61"/>
      <c r="L36" s="51"/>
      <c r="M36" s="51"/>
      <c r="N36" s="51"/>
      <c r="O36" s="51"/>
      <c r="P36" s="51"/>
      <c r="U36" s="1"/>
    </row>
    <row r="37" spans="1:21">
      <c r="B37" s="51"/>
      <c r="C37" s="51"/>
      <c r="D37" s="51"/>
      <c r="E37" s="201" t="s">
        <v>226</v>
      </c>
      <c r="F37" s="201"/>
      <c r="G37" s="201"/>
      <c r="H37" s="201"/>
      <c r="I37" s="201"/>
      <c r="J37" s="201"/>
      <c r="K37" s="51"/>
      <c r="L37" s="51"/>
      <c r="M37" s="51"/>
      <c r="N37" s="51"/>
      <c r="O37" s="51"/>
      <c r="P37" s="51"/>
      <c r="U37" s="1"/>
    </row>
    <row r="38" spans="1:21">
      <c r="B38" s="51"/>
      <c r="C38" s="51"/>
      <c r="D38" s="51"/>
      <c r="E38" s="56"/>
      <c r="F38" s="56"/>
      <c r="G38" s="56"/>
      <c r="H38" s="56"/>
      <c r="I38" s="56"/>
      <c r="J38" s="56"/>
      <c r="K38" s="51"/>
      <c r="L38" s="51"/>
      <c r="M38" s="51"/>
      <c r="N38" s="51"/>
      <c r="O38" s="51"/>
      <c r="P38" s="51"/>
      <c r="U38" s="1"/>
    </row>
    <row r="39" spans="1:21">
      <c r="B39" s="51"/>
      <c r="C39" s="51"/>
      <c r="D39" s="51"/>
      <c r="E39" s="137"/>
      <c r="F39" s="138"/>
      <c r="G39" s="138"/>
      <c r="H39" s="138"/>
      <c r="I39" s="138"/>
      <c r="J39" s="138"/>
      <c r="K39" s="51"/>
      <c r="L39" s="51"/>
      <c r="M39" s="51"/>
      <c r="N39" s="51"/>
      <c r="O39" s="51"/>
      <c r="P39" s="140"/>
      <c r="R39" s="2"/>
      <c r="U39" s="1"/>
    </row>
    <row r="40" spans="1:21">
      <c r="B40" s="51"/>
      <c r="C40" s="51"/>
      <c r="D40" s="51"/>
      <c r="E40" s="56"/>
      <c r="F40" s="56"/>
      <c r="G40" s="56"/>
      <c r="H40" s="56"/>
      <c r="I40" s="56"/>
      <c r="J40" s="56"/>
      <c r="K40" s="51"/>
      <c r="L40" s="51"/>
      <c r="M40" s="51"/>
      <c r="N40" s="51"/>
      <c r="O40" s="51"/>
      <c r="P40" s="51"/>
      <c r="U40" s="1"/>
    </row>
    <row r="41" spans="1:21">
      <c r="B41" s="51"/>
      <c r="C41" s="84"/>
      <c r="D41" s="84"/>
      <c r="E41" s="201" t="s">
        <v>194</v>
      </c>
      <c r="F41" s="201"/>
      <c r="G41" s="56"/>
      <c r="H41" s="56"/>
      <c r="I41" s="56"/>
      <c r="J41" s="56"/>
      <c r="K41" s="51"/>
      <c r="L41" s="51"/>
      <c r="M41" s="51"/>
      <c r="N41" s="51"/>
      <c r="O41" s="51"/>
      <c r="P41" s="51"/>
      <c r="U41" s="1"/>
    </row>
    <row r="42" spans="1:21">
      <c r="B42" s="85"/>
      <c r="C42" s="55"/>
      <c r="D42" s="55"/>
      <c r="E42" s="56"/>
      <c r="F42" s="51"/>
      <c r="G42" s="62"/>
      <c r="H42" s="62"/>
      <c r="I42" s="62"/>
      <c r="J42" s="57"/>
      <c r="K42" s="62"/>
      <c r="L42" s="62"/>
      <c r="M42" s="62"/>
      <c r="N42" s="62"/>
      <c r="O42" s="62"/>
      <c r="P42" s="62"/>
      <c r="Q42" s="89"/>
      <c r="U42" s="1"/>
    </row>
    <row r="43" spans="1:21" ht="15.75" thickBot="1">
      <c r="B43" s="85"/>
      <c r="C43" s="55"/>
      <c r="D43" s="55"/>
      <c r="E43" s="74" t="s">
        <v>203</v>
      </c>
      <c r="F43" s="56"/>
      <c r="G43" s="56"/>
      <c r="H43" s="56"/>
      <c r="I43" s="56"/>
      <c r="J43" s="56"/>
      <c r="K43" s="51"/>
      <c r="L43" s="51"/>
      <c r="M43" s="51"/>
      <c r="N43" s="51"/>
      <c r="O43" s="51"/>
      <c r="P43" s="51"/>
      <c r="Q43" s="90"/>
      <c r="U43" s="1"/>
    </row>
    <row r="44" spans="1:21" ht="15.75" thickBot="1">
      <c r="B44" s="85"/>
      <c r="C44" s="55"/>
      <c r="D44" s="55"/>
      <c r="E44" s="190" t="s">
        <v>206</v>
      </c>
      <c r="F44" s="190"/>
      <c r="G44" s="190"/>
      <c r="H44" s="56"/>
      <c r="I44" s="139">
        <v>0</v>
      </c>
      <c r="J44" s="110" t="str">
        <f>IF('Mon Entreprise'!K8&lt;Annexes!U19,"*","")</f>
        <v>*</v>
      </c>
      <c r="K44" s="51"/>
      <c r="L44" s="51"/>
      <c r="M44" s="51"/>
      <c r="N44" s="51"/>
      <c r="O44" s="51"/>
      <c r="P44" s="51"/>
      <c r="Q44" s="90"/>
      <c r="U44" s="1"/>
    </row>
    <row r="45" spans="1:21">
      <c r="B45" s="85"/>
      <c r="C45" s="55"/>
      <c r="D45" s="55"/>
      <c r="E45" s="120" t="str">
        <f>IF(K8&lt;Annexes!U19,"","En cas de création d'activité après le 15 mars 2019, veuillez vous reporter en bas du tableau...")</f>
        <v/>
      </c>
      <c r="F45" s="56"/>
      <c r="G45" s="56"/>
      <c r="H45" s="56"/>
      <c r="I45" s="56"/>
      <c r="J45" s="56"/>
      <c r="K45" s="51"/>
      <c r="L45" s="51"/>
      <c r="M45" s="121"/>
      <c r="N45" s="51"/>
      <c r="O45" s="51"/>
      <c r="P45" s="51"/>
      <c r="Q45" s="90"/>
      <c r="U45" s="1"/>
    </row>
    <row r="46" spans="1:21">
      <c r="B46" s="85"/>
      <c r="C46" s="55"/>
      <c r="D46" s="55"/>
      <c r="E46" s="51"/>
      <c r="F46" s="187" t="str">
        <f>IF(K8&lt;Annexes!U14,"CA moyen sur un mois :","")</f>
        <v>CA moyen sur un mois :</v>
      </c>
      <c r="G46" s="187"/>
      <c r="H46" s="187"/>
      <c r="I46" s="63">
        <f>IF(AND(K8&gt;Annexes!S17,K8&lt;Annexes!U14),I44*360/(Annexes!U17-K8+1)/12,I44/12)</f>
        <v>0</v>
      </c>
      <c r="J46" s="121"/>
      <c r="K46" s="51"/>
      <c r="L46" s="51"/>
      <c r="M46" s="51"/>
      <c r="N46" s="51"/>
      <c r="O46" s="51"/>
      <c r="P46" s="51"/>
      <c r="Q46" s="90"/>
      <c r="R46" s="15"/>
      <c r="U46" s="1"/>
    </row>
    <row r="47" spans="1:21">
      <c r="B47" s="85"/>
      <c r="C47" s="55"/>
      <c r="D47" s="55"/>
      <c r="E47" s="84"/>
      <c r="F47" s="84"/>
      <c r="G47" s="84"/>
      <c r="H47" s="84"/>
      <c r="I47" s="84"/>
      <c r="J47" s="84"/>
      <c r="K47" s="84"/>
      <c r="L47" s="84"/>
      <c r="M47" s="84"/>
      <c r="N47" s="84"/>
      <c r="O47" s="51"/>
      <c r="P47" s="51"/>
      <c r="Q47" s="90"/>
      <c r="U47" s="1"/>
    </row>
    <row r="48" spans="1:21">
      <c r="B48" s="85"/>
      <c r="C48" s="55"/>
      <c r="D48" s="55"/>
      <c r="E48" s="55"/>
      <c r="F48" s="55"/>
      <c r="G48" s="55"/>
      <c r="H48" s="55"/>
      <c r="I48" s="55"/>
      <c r="J48" s="55"/>
      <c r="K48" s="55"/>
      <c r="L48" s="55"/>
      <c r="M48" s="55"/>
      <c r="N48" s="55"/>
      <c r="O48" s="51"/>
      <c r="P48" s="51"/>
      <c r="Q48" s="90"/>
      <c r="U48" s="1"/>
    </row>
    <row r="49" spans="2:22" ht="39" customHeight="1">
      <c r="B49" s="85"/>
      <c r="C49" s="55"/>
      <c r="D49" s="55"/>
      <c r="E49" s="239" t="s">
        <v>195</v>
      </c>
      <c r="F49" s="239"/>
      <c r="G49" s="239"/>
      <c r="H49" s="239"/>
      <c r="I49" s="239"/>
      <c r="J49" s="240"/>
      <c r="K49" s="235" t="s">
        <v>204</v>
      </c>
      <c r="L49" s="236"/>
      <c r="M49" s="236"/>
      <c r="N49" s="236"/>
      <c r="O49" s="236"/>
      <c r="P49" s="236"/>
      <c r="Q49" s="90"/>
      <c r="U49" s="1"/>
    </row>
    <row r="50" spans="2:22">
      <c r="B50" s="85"/>
      <c r="C50" s="55"/>
      <c r="D50" s="55"/>
      <c r="E50" s="51"/>
      <c r="F50" s="61"/>
      <c r="G50" s="61"/>
      <c r="H50" s="237" t="s">
        <v>107</v>
      </c>
      <c r="I50" s="237"/>
      <c r="J50" s="237"/>
      <c r="K50" s="61"/>
      <c r="L50" s="237" t="s">
        <v>108</v>
      </c>
      <c r="M50" s="237"/>
      <c r="N50" s="237"/>
      <c r="O50" s="237"/>
      <c r="P50" s="61"/>
      <c r="Q50" s="90"/>
      <c r="U50" s="1"/>
    </row>
    <row r="51" spans="2:22" ht="15.75" thickBot="1">
      <c r="B51" s="85"/>
      <c r="C51" s="55"/>
      <c r="D51" s="55"/>
      <c r="E51" s="51"/>
      <c r="F51" s="51"/>
      <c r="G51" s="51"/>
      <c r="H51" s="51"/>
      <c r="I51" s="51"/>
      <c r="J51" s="51"/>
      <c r="K51" s="55"/>
      <c r="L51" s="51"/>
      <c r="M51" s="51"/>
      <c r="N51" s="51"/>
      <c r="O51" s="51"/>
      <c r="P51" s="51"/>
      <c r="Q51" s="90"/>
      <c r="U51" s="1"/>
    </row>
    <row r="52" spans="2:22" ht="15.75" thickBot="1">
      <c r="B52" s="85"/>
      <c r="C52" s="55"/>
      <c r="D52" s="55"/>
      <c r="E52" s="64" t="str">
        <f>IF(Annexes!M5=FALSE,"- Non-Concerné : ",IF(Annexes!O5=1,"- Non-Concerné :","- Septembre :"))</f>
        <v xml:space="preserve">- Non-Concerné : </v>
      </c>
      <c r="F52" s="51"/>
      <c r="G52" s="51"/>
      <c r="H52" s="51"/>
      <c r="I52" s="139">
        <v>0</v>
      </c>
      <c r="J52" s="85"/>
      <c r="K52" s="55"/>
      <c r="L52" s="51"/>
      <c r="M52" s="139">
        <v>0</v>
      </c>
      <c r="N52" s="112" t="str">
        <f>IF(AND(Annexes!M5=TRUE,Annexes!O5&gt;1),"*","")</f>
        <v/>
      </c>
      <c r="O52" s="51"/>
      <c r="P52" s="165"/>
      <c r="Q52" s="90"/>
      <c r="S52" s="15"/>
      <c r="T52" s="15"/>
      <c r="U52" s="15"/>
      <c r="V52" s="15"/>
    </row>
    <row r="53" spans="2:22">
      <c r="B53" s="85"/>
      <c r="C53" s="55"/>
      <c r="D53" s="55"/>
      <c r="E53" s="149" t="str">
        <f>IF(Annexes!M5=FALSE,"",IF(Annexes!O5=1,"","Seulement le CA sur le nombre de jours de fermeture administrative"))</f>
        <v/>
      </c>
      <c r="F53" s="149"/>
      <c r="G53" s="149"/>
      <c r="H53" s="149"/>
      <c r="I53" s="149"/>
      <c r="J53" s="150"/>
      <c r="K53" s="55"/>
      <c r="L53" s="51"/>
      <c r="M53" s="65"/>
      <c r="N53" s="51"/>
      <c r="O53" s="51"/>
      <c r="P53" s="165"/>
      <c r="Q53" s="90"/>
      <c r="U53" s="1"/>
    </row>
    <row r="54" spans="2:22" ht="15.75" thickBot="1">
      <c r="B54" s="85"/>
      <c r="C54" s="55"/>
      <c r="D54" s="55"/>
      <c r="E54" s="66"/>
      <c r="F54" s="66"/>
      <c r="G54" s="66"/>
      <c r="H54" s="66"/>
      <c r="I54" s="66"/>
      <c r="J54" s="85"/>
      <c r="K54" s="55"/>
      <c r="L54" s="51"/>
      <c r="M54" s="65"/>
      <c r="N54" s="51"/>
      <c r="O54" s="51"/>
      <c r="P54" s="165"/>
      <c r="Q54" s="90"/>
      <c r="U54" s="1"/>
    </row>
    <row r="55" spans="2:22" ht="15.75" thickBot="1">
      <c r="B55" s="85"/>
      <c r="C55" s="55"/>
      <c r="D55" s="55"/>
      <c r="E55" s="234" t="str">
        <f>IF(Annexes!M5=FALSE,"- Non-Concerné :",IF(Annexes!Q5=1,"- Non-Concerné :","- Octobre :"))</f>
        <v>- Non-Concerné :</v>
      </c>
      <c r="F55" s="234"/>
      <c r="G55" s="66"/>
      <c r="H55" s="66"/>
      <c r="I55" s="139">
        <v>0</v>
      </c>
      <c r="J55" s="85"/>
      <c r="K55" s="55"/>
      <c r="L55" s="51"/>
      <c r="M55" s="139">
        <v>0</v>
      </c>
      <c r="N55" s="112" t="str">
        <f>IF(AND(Annexes!M5=TRUE,Annexes!Q5&gt;1),"*","")</f>
        <v/>
      </c>
      <c r="O55" s="51"/>
      <c r="P55" s="165"/>
      <c r="Q55" s="90"/>
      <c r="U55" s="1"/>
    </row>
    <row r="56" spans="2:22">
      <c r="B56" s="85"/>
      <c r="C56" s="55"/>
      <c r="D56" s="55"/>
      <c r="E56" s="241" t="str">
        <f>IF(Annexes!M5=FALSE,"",IF(Annexes!Q5=1,"","Seulement le CA sur le nombre de jours de fermeture administrative"))</f>
        <v/>
      </c>
      <c r="F56" s="241"/>
      <c r="G56" s="241"/>
      <c r="H56" s="241"/>
      <c r="I56" s="241"/>
      <c r="J56" s="242"/>
      <c r="K56" s="55"/>
      <c r="L56" s="51"/>
      <c r="M56" s="65"/>
      <c r="N56" s="51"/>
      <c r="O56" s="51"/>
      <c r="P56" s="165"/>
      <c r="Q56" s="90"/>
      <c r="U56" s="1"/>
    </row>
    <row r="57" spans="2:22" ht="15.75" thickBot="1">
      <c r="B57" s="85"/>
      <c r="C57" s="55"/>
      <c r="D57" s="55"/>
      <c r="E57" s="51"/>
      <c r="F57" s="51"/>
      <c r="G57" s="51"/>
      <c r="H57" s="51"/>
      <c r="I57" s="51"/>
      <c r="J57" s="85"/>
      <c r="K57" s="55"/>
      <c r="L57" s="51"/>
      <c r="M57" s="51"/>
      <c r="N57" s="51"/>
      <c r="O57" s="51"/>
      <c r="P57" s="51"/>
      <c r="Q57" s="90"/>
      <c r="U57" s="1"/>
    </row>
    <row r="58" spans="2:22" ht="15.75" thickBot="1">
      <c r="B58" s="85"/>
      <c r="C58" s="55"/>
      <c r="D58" s="55"/>
      <c r="E58" s="234" t="s">
        <v>109</v>
      </c>
      <c r="F58" s="234"/>
      <c r="G58" s="51"/>
      <c r="H58" s="51"/>
      <c r="I58" s="139">
        <v>0</v>
      </c>
      <c r="J58" s="85"/>
      <c r="K58" s="55"/>
      <c r="L58" s="51"/>
      <c r="M58" s="139">
        <v>0</v>
      </c>
      <c r="N58" s="110" t="s">
        <v>189</v>
      </c>
      <c r="O58" s="67"/>
      <c r="P58" s="51"/>
      <c r="Q58" s="90"/>
      <c r="U58" s="1"/>
    </row>
    <row r="59" spans="2:22" ht="15.75" thickBot="1">
      <c r="B59" s="85"/>
      <c r="C59" s="55"/>
      <c r="D59" s="55"/>
      <c r="E59" s="51"/>
      <c r="F59" s="51"/>
      <c r="G59" s="51"/>
      <c r="H59" s="51"/>
      <c r="I59" s="51"/>
      <c r="J59" s="85"/>
      <c r="K59" s="55"/>
      <c r="L59" s="51"/>
      <c r="M59" s="51"/>
      <c r="N59" s="51"/>
      <c r="O59" s="51"/>
      <c r="P59" s="51"/>
      <c r="Q59" s="90"/>
      <c r="U59" s="1"/>
    </row>
    <row r="60" spans="2:22" ht="15.75" thickBot="1">
      <c r="B60" s="85"/>
      <c r="C60" s="55"/>
      <c r="D60" s="55"/>
      <c r="E60" s="234" t="s">
        <v>110</v>
      </c>
      <c r="F60" s="234"/>
      <c r="G60" s="51"/>
      <c r="H60" s="51"/>
      <c r="I60" s="139">
        <v>0</v>
      </c>
      <c r="J60" s="85"/>
      <c r="K60" s="55"/>
      <c r="L60" s="51"/>
      <c r="M60" s="139">
        <v>0</v>
      </c>
      <c r="N60" s="110" t="s">
        <v>189</v>
      </c>
      <c r="O60" s="68"/>
      <c r="P60" s="51"/>
      <c r="Q60" s="90"/>
      <c r="U60" s="1"/>
    </row>
    <row r="61" spans="2:22" ht="15.75" thickBot="1">
      <c r="B61" s="85"/>
      <c r="C61" s="55"/>
      <c r="D61" s="55"/>
      <c r="E61" s="51"/>
      <c r="F61" s="51"/>
      <c r="G61" s="51"/>
      <c r="H61" s="51"/>
      <c r="I61" s="51"/>
      <c r="J61" s="85"/>
      <c r="K61" s="55"/>
      <c r="L61" s="51"/>
      <c r="M61" s="51"/>
      <c r="N61" s="51"/>
      <c r="O61" s="51"/>
      <c r="P61" s="51"/>
      <c r="Q61" s="90"/>
      <c r="U61" s="1"/>
    </row>
    <row r="62" spans="2:22" ht="15.75" thickBot="1">
      <c r="B62" s="85"/>
      <c r="C62" s="55"/>
      <c r="D62" s="55"/>
      <c r="E62" s="238" t="s">
        <v>111</v>
      </c>
      <c r="F62" s="238"/>
      <c r="G62" s="238"/>
      <c r="H62" s="51"/>
      <c r="I62" s="139">
        <f>I46*2</f>
        <v>0</v>
      </c>
      <c r="J62" s="111" t="str">
        <f>IF('Mon Entreprise'!K8&lt;Annexes!U19,"*","")</f>
        <v>*</v>
      </c>
      <c r="K62" s="55"/>
      <c r="L62" s="51"/>
      <c r="M62" s="139">
        <v>0</v>
      </c>
      <c r="N62" s="110" t="s">
        <v>189</v>
      </c>
      <c r="O62" s="51"/>
      <c r="P62" s="51"/>
      <c r="Q62" s="90"/>
      <c r="U62" s="1"/>
    </row>
    <row r="63" spans="2:22">
      <c r="B63" s="85"/>
      <c r="C63" s="55"/>
      <c r="D63" s="55"/>
      <c r="E63" s="51"/>
      <c r="F63" s="51"/>
      <c r="G63" s="51"/>
      <c r="H63" s="51"/>
      <c r="I63" s="65"/>
      <c r="J63" s="51"/>
      <c r="K63" s="51"/>
      <c r="L63" s="51"/>
      <c r="M63" s="51"/>
      <c r="N63" s="51"/>
      <c r="O63" s="51"/>
      <c r="P63" s="51"/>
      <c r="Q63" s="90"/>
      <c r="U63" s="1"/>
    </row>
    <row r="64" spans="2:22">
      <c r="B64" s="85"/>
      <c r="C64" s="55"/>
      <c r="D64" s="55"/>
      <c r="E64" s="84"/>
      <c r="F64" s="84"/>
      <c r="G64" s="84"/>
      <c r="H64" s="84"/>
      <c r="I64" s="84"/>
      <c r="J64" s="84"/>
      <c r="K64" s="84"/>
      <c r="L64" s="84"/>
      <c r="M64" s="84"/>
      <c r="N64" s="84"/>
      <c r="O64" s="51"/>
      <c r="P64" s="51"/>
      <c r="Q64" s="90"/>
      <c r="U64" s="1"/>
    </row>
    <row r="65" spans="2:21">
      <c r="B65" s="85"/>
      <c r="C65" s="55"/>
      <c r="D65" s="55"/>
      <c r="E65" s="51"/>
      <c r="F65" s="51"/>
      <c r="G65" s="51"/>
      <c r="H65" s="51"/>
      <c r="I65" s="51"/>
      <c r="J65" s="51"/>
      <c r="K65" s="51"/>
      <c r="L65" s="51"/>
      <c r="M65" s="51"/>
      <c r="N65" s="51"/>
      <c r="O65" s="51"/>
      <c r="P65" s="51"/>
      <c r="Q65" s="90"/>
      <c r="U65" s="1"/>
    </row>
    <row r="66" spans="2:21">
      <c r="B66" s="85"/>
      <c r="C66" s="55"/>
      <c r="D66" s="55"/>
      <c r="E66" s="194" t="str">
        <f>IF(K8&lt;Annexes!U19,"A compléter seulement en cas de création d'activité après le 15 Mars 2019","En cas de création d'activité après le 15 Mars 2019")</f>
        <v>A compléter seulement en cas de création d'activité après le 15 Mars 2019</v>
      </c>
      <c r="F66" s="194"/>
      <c r="G66" s="194"/>
      <c r="H66" s="194"/>
      <c r="I66" s="194"/>
      <c r="J66" s="194"/>
      <c r="K66" s="194"/>
      <c r="L66" s="194"/>
      <c r="M66" s="194"/>
      <c r="N66" s="51"/>
      <c r="O66" s="51"/>
      <c r="P66" s="51"/>
      <c r="Q66" s="90"/>
      <c r="U66" s="1"/>
    </row>
    <row r="67" spans="2:21" ht="15.75" thickBot="1">
      <c r="B67" s="85"/>
      <c r="C67" s="55"/>
      <c r="D67" s="55"/>
      <c r="E67" s="51"/>
      <c r="F67" s="51"/>
      <c r="G67" s="51"/>
      <c r="H67" s="51"/>
      <c r="I67" s="65"/>
      <c r="J67" s="51"/>
      <c r="K67" s="51"/>
      <c r="L67" s="51"/>
      <c r="M67" s="51"/>
      <c r="N67" s="51"/>
      <c r="O67" s="51"/>
      <c r="P67" s="51"/>
      <c r="Q67" s="90"/>
      <c r="U67" s="1"/>
    </row>
    <row r="68" spans="2:21" ht="15.75" thickBot="1">
      <c r="B68" s="85"/>
      <c r="C68" s="55"/>
      <c r="D68" s="55"/>
      <c r="E68" s="190" t="str">
        <f>IF(AND(K8&gt;=Annexes!U19,K8&lt;=Annexes!U15),"- Chiffre d'affaires de la création au 15/03/2020 :","")</f>
        <v/>
      </c>
      <c r="F68" s="190"/>
      <c r="G68" s="190"/>
      <c r="H68" s="190"/>
      <c r="I68" s="190"/>
      <c r="J68" s="51"/>
      <c r="K68" s="51"/>
      <c r="L68" s="51"/>
      <c r="M68" s="139">
        <v>0</v>
      </c>
      <c r="N68" s="112" t="str">
        <f>IF(AND(K8&gt;=Annexes!U19,K8&lt;=Annexes!U15),"*","")</f>
        <v/>
      </c>
      <c r="O68" s="51"/>
      <c r="P68" s="51"/>
      <c r="Q68" s="90"/>
      <c r="U68" s="1"/>
    </row>
    <row r="69" spans="2:21">
      <c r="B69" s="85"/>
      <c r="C69" s="55"/>
      <c r="D69" s="55"/>
      <c r="E69" s="51"/>
      <c r="F69" s="51"/>
      <c r="G69" s="51"/>
      <c r="H69" s="51"/>
      <c r="I69" s="51"/>
      <c r="J69" s="51"/>
      <c r="K69" s="51"/>
      <c r="L69" s="51"/>
      <c r="M69" s="51"/>
      <c r="N69" s="51"/>
      <c r="O69" s="51"/>
      <c r="P69" s="51"/>
      <c r="Q69" s="90"/>
      <c r="U69" s="1"/>
    </row>
    <row r="70" spans="2:21">
      <c r="B70" s="85"/>
      <c r="C70" s="55"/>
      <c r="D70" s="55"/>
      <c r="E70" s="51"/>
      <c r="F70" s="191" t="str">
        <f>IF(AND(K8&gt;=Annexes!U19,K8&lt;=Annexes!U15),"CA moyen sur deux mois :","")</f>
        <v/>
      </c>
      <c r="G70" s="191"/>
      <c r="H70" s="191"/>
      <c r="I70" s="68" t="str">
        <f>IFERROR(IF(AND(K8&gt;=Annexes!U19,K8&lt;=Annexes!U15),M68*360/(Annexes!S19-K8+1)/6,""),0)</f>
        <v/>
      </c>
      <c r="J70" s="51"/>
      <c r="K70" s="51"/>
      <c r="L70" s="51"/>
      <c r="M70" s="51"/>
      <c r="N70" s="51"/>
      <c r="O70" s="51"/>
      <c r="P70" s="51"/>
      <c r="Q70" s="90"/>
      <c r="U70" s="1"/>
    </row>
    <row r="71" spans="2:21">
      <c r="B71" s="85"/>
      <c r="C71" s="55"/>
      <c r="D71" s="55"/>
      <c r="E71" s="51"/>
      <c r="F71" s="59"/>
      <c r="G71" s="59"/>
      <c r="H71" s="59"/>
      <c r="I71" s="65"/>
      <c r="J71" s="68"/>
      <c r="K71" s="51"/>
      <c r="L71" s="51"/>
      <c r="M71" s="51"/>
      <c r="N71" s="51"/>
      <c r="O71" s="51"/>
      <c r="P71" s="51"/>
      <c r="Q71" s="90"/>
      <c r="U71" s="1"/>
    </row>
    <row r="72" spans="2:21">
      <c r="B72" s="85"/>
      <c r="C72" s="55"/>
      <c r="D72" s="55"/>
      <c r="E72" s="51"/>
      <c r="F72" s="51"/>
      <c r="G72" s="51"/>
      <c r="H72" s="51"/>
      <c r="I72" s="51"/>
      <c r="J72" s="51"/>
      <c r="K72" s="51"/>
      <c r="L72" s="51"/>
      <c r="M72" s="51"/>
      <c r="N72" s="51"/>
      <c r="O72" s="51"/>
      <c r="P72" s="51"/>
      <c r="Q72" s="90"/>
      <c r="U72" s="1"/>
    </row>
    <row r="73" spans="2:21" ht="15.75" customHeight="1">
      <c r="B73" s="85"/>
      <c r="C73" s="55"/>
      <c r="D73" s="55"/>
      <c r="E73" s="192" t="str">
        <f>IF(K8&gt;Annexes!S18,"",IF(K8&gt;Annexes!U16,"Entreprise créée entre le 1er Juillet et le 30 Septembre 2020 :",IF(K8&gt;=Annexes!S16,"Entreprise créée entre le 1er Mars le 1er Juillet 2020 :",IF(K8&gt;=Annexes!S15,"Entreprise créée entre le 1er février 2020 et le 29 février 2020 :",IF(K8&gt;=Annexes!U14,"Entreprise créée entre le 1er Juin 2019 et le 31 Janvier 2020 :","")))))</f>
        <v/>
      </c>
      <c r="F73" s="192"/>
      <c r="G73" s="192"/>
      <c r="H73" s="192"/>
      <c r="I73" s="192"/>
      <c r="J73" s="192"/>
      <c r="K73" s="69"/>
      <c r="L73" s="69"/>
      <c r="M73" s="69"/>
      <c r="N73" s="51"/>
      <c r="O73" s="51"/>
      <c r="P73" s="51"/>
      <c r="Q73" s="90"/>
      <c r="U73" s="1"/>
    </row>
    <row r="74" spans="2:21" ht="15.75" customHeight="1" thickBot="1">
      <c r="B74" s="85"/>
      <c r="C74" s="55"/>
      <c r="D74" s="55"/>
      <c r="E74" s="70"/>
      <c r="F74" s="70"/>
      <c r="G74" s="70"/>
      <c r="H74" s="70"/>
      <c r="I74" s="70"/>
      <c r="J74" s="70"/>
      <c r="K74" s="69"/>
      <c r="L74" s="69"/>
      <c r="M74" s="69"/>
      <c r="N74" s="51"/>
      <c r="O74" s="51"/>
      <c r="P74" s="51"/>
      <c r="Q74" s="90"/>
      <c r="U74" s="1"/>
    </row>
    <row r="75" spans="2:21" ht="15.75" thickBot="1">
      <c r="B75" s="85"/>
      <c r="C75" s="55"/>
      <c r="D75" s="55"/>
      <c r="E75" s="193" t="str">
        <f>IF(K8&gt;Annexes!S18,"",IF(K8&gt;Annexes!U16,"- Chiffre d'affaires entre la création et le 30 Septembre 2020 :",IF(K8&gt;=Annexes!S16,"- Chiffre d'affaires entre le 1er Juillet et le 30 Septembre 2020 :",IF(K8&gt;=Annexes!S15,"- Chiffre d'affaires du mois de février 2020 :",IF(K8&gt;=Annexes!U14,"- Chiffre d'affaires entre la création et le 29 février 2020 :","")))))</f>
        <v/>
      </c>
      <c r="F75" s="193"/>
      <c r="G75" s="193"/>
      <c r="H75" s="193"/>
      <c r="I75" s="193"/>
      <c r="J75" s="193"/>
      <c r="K75" s="71"/>
      <c r="L75" s="71"/>
      <c r="M75" s="139">
        <v>0</v>
      </c>
      <c r="N75" s="112" t="str">
        <f>IF(K8&gt;Annexes!S18,"",IF(K8&gt;Annexes!U16,"*",IF(K8&gt;=Annexes!S16,"*",IF(K8&gt;=Annexes!S15,"*",IF(K8&gt;=Annexes!U14,"*","")))))</f>
        <v/>
      </c>
      <c r="O75" s="51"/>
      <c r="P75" s="51"/>
      <c r="Q75" s="90"/>
      <c r="U75" s="1"/>
    </row>
    <row r="76" spans="2:21">
      <c r="B76" s="85"/>
      <c r="C76" s="55"/>
      <c r="D76" s="55"/>
      <c r="E76" s="51"/>
      <c r="F76" s="51"/>
      <c r="G76" s="51"/>
      <c r="H76" s="51"/>
      <c r="I76" s="65"/>
      <c r="J76" s="51"/>
      <c r="K76" s="51"/>
      <c r="L76" s="51"/>
      <c r="M76" s="51"/>
      <c r="N76" s="51"/>
      <c r="O76" s="51"/>
      <c r="P76" s="51"/>
      <c r="Q76" s="90"/>
      <c r="U76" s="1"/>
    </row>
    <row r="77" spans="2:21" ht="15.75" customHeight="1">
      <c r="B77" s="85"/>
      <c r="C77" s="55"/>
      <c r="D77" s="55"/>
      <c r="E77" s="51"/>
      <c r="F77" s="187" t="str">
        <f>IF(K8&gt;Annexes!S18,"",IF(K8&gt;=Annexes!U14,"CA moyen sur un mois :",""))</f>
        <v/>
      </c>
      <c r="G77" s="187"/>
      <c r="H77" s="187"/>
      <c r="I77" s="63" t="str">
        <f>IF(K8&gt;Annexes!S18,"",IF(K8&gt;Annexes!U16,M75*360/(Annexes!S18-K8+1)/12,IF(K8&gt;=Annexes!S16,M75*360/92/12,IF(K8&gt;=Annexes!S15,M75*29/(Annexes!S14-K8+1),IF(K8&gt;=Annexes!U14,M75*360/(Annexes!S14-K8+1)/12,"")))))</f>
        <v/>
      </c>
      <c r="J77" s="51"/>
      <c r="K77" s="51"/>
      <c r="L77" s="51"/>
      <c r="M77" s="51"/>
      <c r="N77" s="51"/>
      <c r="O77" s="51"/>
      <c r="P77" s="51"/>
      <c r="Q77" s="94"/>
      <c r="R77" s="11"/>
      <c r="U77" s="1"/>
    </row>
    <row r="78" spans="2:21">
      <c r="B78" s="85"/>
      <c r="C78" s="55"/>
      <c r="D78" s="55"/>
      <c r="E78" s="51"/>
      <c r="F78" s="187" t="str">
        <f>IF(AND(Annexes!M5=TRUE,Annexes!O5&gt;1),IF(AND(K8&lt;=Annexes!U18,K8&gt;=Annexes!U14),"Soit sur "&amp;Annexes!O5-1&amp;" Jour(s) (Septembre) :",""),"")</f>
        <v/>
      </c>
      <c r="G78" s="187"/>
      <c r="H78" s="187"/>
      <c r="I78" s="65" t="str">
        <f>IF(AND(Annexes!M5=TRUE,Annexes!O5&gt;1),IF(AND(K8&lt;=Annexes!U18,K8&gt;=Annexes!U14),I77/30*(Annexes!O5-1),""),"")</f>
        <v/>
      </c>
      <c r="J78" s="51"/>
      <c r="K78" s="51"/>
      <c r="L78" s="51"/>
      <c r="M78" s="51"/>
      <c r="N78" s="51"/>
      <c r="O78" s="51"/>
      <c r="P78" s="68"/>
      <c r="Q78" s="94"/>
      <c r="R78" s="11"/>
      <c r="U78" s="1"/>
    </row>
    <row r="79" spans="2:21">
      <c r="B79" s="85"/>
      <c r="C79" s="55"/>
      <c r="D79" s="55"/>
      <c r="E79" s="51"/>
      <c r="F79" s="187" t="str">
        <f>IF(AND(Annexes!M5=TRUE,Annexes!Q5&gt;1),IF(AND(K8&lt;=Annexes!U18,K8&gt;=Annexes!U14),"Soit sur "&amp;Annexes!Q5-1&amp;" Jour(s) (Octobre):",""),"")</f>
        <v/>
      </c>
      <c r="G79" s="187"/>
      <c r="H79" s="187"/>
      <c r="I79" s="65" t="str">
        <f>IF(AND(Annexes!M5=TRUE,Annexes!Q5&gt;1),IF(AND(K8&lt;=Annexes!U18,K8&gt;=Annexes!U14),I77/30*(Annexes!Q5-1),""),"")</f>
        <v/>
      </c>
      <c r="J79" s="51"/>
      <c r="K79" s="51"/>
      <c r="L79" s="51"/>
      <c r="M79" s="51"/>
      <c r="N79" s="51"/>
      <c r="O79" s="51"/>
      <c r="P79" s="68"/>
      <c r="Q79" s="94"/>
      <c r="R79" s="11"/>
      <c r="U79" s="1"/>
    </row>
    <row r="80" spans="2:21">
      <c r="B80" s="85"/>
      <c r="C80" s="55"/>
      <c r="D80" s="55"/>
      <c r="E80" s="55"/>
      <c r="F80" s="55"/>
      <c r="G80" s="55"/>
      <c r="H80" s="55"/>
      <c r="I80" s="65"/>
      <c r="J80" s="55"/>
      <c r="K80" s="55"/>
      <c r="L80" s="55"/>
      <c r="M80" s="55"/>
      <c r="N80" s="55"/>
      <c r="O80" s="51"/>
      <c r="P80" s="65"/>
      <c r="Q80" s="94"/>
      <c r="R80" s="11"/>
      <c r="U80" s="1"/>
    </row>
    <row r="81" spans="2:22">
      <c r="B81" s="85"/>
      <c r="C81" s="55"/>
      <c r="D81" s="55"/>
      <c r="E81" s="189" t="str">
        <f>IF(AND(Annexes!M5=TRUE,Annexes!O5&gt;1),IF(AND(K8&lt;=Annexes!U18,K8&gt;=Annexes!S16),"Aide pour Septembre :",""),"")</f>
        <v/>
      </c>
      <c r="F81" s="189"/>
      <c r="G81" s="189"/>
      <c r="H81" s="72"/>
      <c r="I81" s="51"/>
      <c r="J81" s="51"/>
      <c r="K81" s="51"/>
      <c r="L81" s="51"/>
      <c r="M81" s="51"/>
      <c r="N81" s="51"/>
      <c r="O81" s="51"/>
      <c r="P81" s="51"/>
      <c r="Q81" s="95"/>
      <c r="R81" s="24"/>
      <c r="U81" s="1"/>
    </row>
    <row r="82" spans="2:22" ht="15.75" thickBot="1">
      <c r="B82" s="93"/>
      <c r="C82" s="73"/>
      <c r="D82" s="73"/>
      <c r="E82" s="186" t="str">
        <f>IF(AND(Annexes!M5=TRUE,Annexes!O5&gt;1),IF(AND(K8&lt;=Annexes!U18,K8&gt;=Annexes!S16),"Entreprise créée entre le 1er Mars et le 31 Août 2020",""),"")</f>
        <v/>
      </c>
      <c r="F82" s="186"/>
      <c r="G82" s="186"/>
      <c r="H82" s="186"/>
      <c r="I82" s="186"/>
      <c r="J82" s="186"/>
      <c r="K82" s="186"/>
      <c r="L82" s="186"/>
      <c r="M82" s="186"/>
      <c r="N82" s="55"/>
      <c r="O82" s="55"/>
      <c r="P82" s="55"/>
      <c r="Q82" s="90"/>
      <c r="R82" s="7"/>
      <c r="U82" s="1"/>
    </row>
    <row r="83" spans="2:22" ht="15.75" thickBot="1">
      <c r="B83" s="85"/>
      <c r="C83" s="55"/>
      <c r="D83" s="55"/>
      <c r="E83" s="192" t="str">
        <f>IF(AND(Annexes!M5=TRUE,Annexes!O5&gt;1),IF(AND(K8&lt;=Annexes!U18,K8&gt;=Annexes!S16),"- Chiffre d'affaires entre la création et le 31 Août 2020 :",""),"")</f>
        <v/>
      </c>
      <c r="F83" s="192"/>
      <c r="G83" s="192"/>
      <c r="H83" s="192"/>
      <c r="I83" s="192"/>
      <c r="J83" s="192"/>
      <c r="K83" s="192"/>
      <c r="L83" s="192"/>
      <c r="M83" s="139">
        <v>0</v>
      </c>
      <c r="N83" s="112" t="str">
        <f>IF(AND(Annexes!M5=TRUE,Annexes!O5&gt;1),IF(AND(K8&lt;=Annexes!U18,K8&gt;=Annexes!S16),"*",""),"")</f>
        <v/>
      </c>
      <c r="O83" s="51"/>
      <c r="P83" s="51"/>
      <c r="Q83" s="90"/>
      <c r="S83" s="11"/>
      <c r="U83" s="1"/>
    </row>
    <row r="84" spans="2:22" ht="15" customHeight="1">
      <c r="B84" s="85"/>
      <c r="C84" s="55"/>
      <c r="D84" s="55"/>
      <c r="E84" s="51"/>
      <c r="F84" s="51"/>
      <c r="G84" s="51"/>
      <c r="H84" s="51"/>
      <c r="I84" s="51"/>
      <c r="J84" s="51"/>
      <c r="K84" s="51"/>
      <c r="L84" s="51"/>
      <c r="M84" s="51"/>
      <c r="N84" s="51"/>
      <c r="O84" s="51"/>
      <c r="P84" s="51"/>
      <c r="Q84" s="96"/>
      <c r="R84" s="10"/>
      <c r="S84" s="11"/>
      <c r="U84" s="1"/>
    </row>
    <row r="85" spans="2:22" ht="15" customHeight="1">
      <c r="B85" s="85"/>
      <c r="C85" s="55"/>
      <c r="D85" s="55"/>
      <c r="E85" s="51"/>
      <c r="F85" s="187" t="str">
        <f>IF(AND(Annexes!M5=TRUE,Annexes!O5&gt;1),IF(AND(K8&lt;=Annexes!U18,K8&gt;=Annexes!S16),"Soit sur "&amp;Annexes!O5-1&amp;" Jour(s) :",""),"")</f>
        <v/>
      </c>
      <c r="G85" s="187"/>
      <c r="H85" s="187"/>
      <c r="I85" s="68" t="str">
        <f>IF(AND(Annexes!M5=TRUE,Annexes!O5&gt;1),IF(AND(K8&lt;=Annexes!U18,K8&gt;=Annexes!S16),M83*(Annexes!O5-1)/(Annexes!U18-K8+1),""),"")</f>
        <v/>
      </c>
      <c r="J85" s="51"/>
      <c r="K85" s="51"/>
      <c r="L85" s="51"/>
      <c r="M85" s="51"/>
      <c r="N85" s="51"/>
      <c r="O85" s="51"/>
      <c r="P85" s="51"/>
      <c r="Q85" s="96"/>
      <c r="R85" s="10"/>
      <c r="S85" s="11"/>
      <c r="U85" s="1"/>
    </row>
    <row r="86" spans="2:22">
      <c r="B86" s="85"/>
      <c r="C86" s="86"/>
      <c r="D86" s="84"/>
      <c r="E86" s="84"/>
      <c r="F86" s="84"/>
      <c r="G86" s="84"/>
      <c r="H86" s="84"/>
      <c r="I86" s="84"/>
      <c r="J86" s="84"/>
      <c r="K86" s="84"/>
      <c r="L86" s="84"/>
      <c r="M86" s="84"/>
      <c r="N86" s="84"/>
      <c r="O86" s="84"/>
      <c r="P86" s="84"/>
      <c r="Q86" s="97"/>
      <c r="S86" s="11"/>
      <c r="U86" s="1"/>
    </row>
    <row r="87" spans="2:22">
      <c r="B87" s="1"/>
      <c r="C87" s="1"/>
      <c r="D87" s="1"/>
      <c r="E87" s="1"/>
      <c r="F87" s="1"/>
      <c r="G87" s="1"/>
      <c r="H87" s="1"/>
      <c r="I87" s="1"/>
      <c r="J87" s="1"/>
      <c r="K87" s="1"/>
      <c r="L87" s="1"/>
      <c r="M87" s="1"/>
      <c r="N87" s="1"/>
      <c r="O87" s="1"/>
      <c r="P87" s="1"/>
      <c r="Q87" s="1"/>
      <c r="R87" s="1"/>
      <c r="S87" s="11"/>
      <c r="U87" s="1"/>
    </row>
    <row r="88" spans="2:22">
      <c r="B88" s="1"/>
      <c r="C88" s="1"/>
      <c r="D88" s="1"/>
      <c r="E88" s="1"/>
      <c r="F88" s="1"/>
      <c r="G88" s="1"/>
      <c r="H88" s="1"/>
      <c r="I88" s="1"/>
      <c r="J88" s="1"/>
      <c r="K88" s="1"/>
      <c r="L88" s="1"/>
      <c r="M88" s="1"/>
      <c r="N88" s="1"/>
      <c r="O88" s="1"/>
      <c r="P88" s="1"/>
      <c r="Q88" s="1"/>
      <c r="R88" s="1"/>
      <c r="S88" s="11"/>
      <c r="U88" s="1"/>
    </row>
    <row r="89" spans="2:22">
      <c r="B89" s="14"/>
      <c r="C89" s="14"/>
      <c r="D89" s="14"/>
      <c r="E89" s="1"/>
      <c r="F89" s="1"/>
      <c r="G89" s="1"/>
      <c r="H89" s="1"/>
      <c r="I89" s="1"/>
      <c r="J89" s="1"/>
      <c r="K89" s="1"/>
      <c r="L89" s="1"/>
      <c r="M89" s="1"/>
      <c r="N89" s="1"/>
      <c r="O89" s="1"/>
      <c r="P89" s="1"/>
      <c r="Q89" s="1"/>
      <c r="R89" s="1"/>
      <c r="S89" s="11"/>
      <c r="U89" s="1"/>
    </row>
    <row r="90" spans="2:22">
      <c r="B90" s="1"/>
      <c r="C90" s="1"/>
      <c r="D90" s="1"/>
      <c r="E90" s="1"/>
      <c r="F90" s="1"/>
      <c r="G90" s="1"/>
      <c r="H90" s="1"/>
      <c r="I90" s="1"/>
      <c r="J90" s="1"/>
      <c r="K90" s="1"/>
      <c r="L90" s="1"/>
      <c r="M90" s="1"/>
      <c r="N90" s="1"/>
      <c r="O90" s="1"/>
      <c r="P90" s="1"/>
      <c r="Q90" s="1"/>
      <c r="R90" s="1"/>
      <c r="S90" s="10"/>
      <c r="U90" s="1"/>
    </row>
    <row r="91" spans="2:22">
      <c r="B91" s="1"/>
      <c r="C91" s="1"/>
      <c r="D91" s="1"/>
      <c r="E91" s="1"/>
      <c r="F91" s="1"/>
      <c r="G91" s="1"/>
      <c r="H91" s="1"/>
      <c r="I91" s="1"/>
      <c r="J91" s="1"/>
      <c r="K91" s="1"/>
      <c r="L91" s="1"/>
      <c r="M91" s="1"/>
      <c r="N91" s="1"/>
      <c r="O91" s="1"/>
      <c r="P91" s="1"/>
      <c r="Q91" s="1"/>
      <c r="R91" s="1"/>
      <c r="S91" s="10"/>
      <c r="U91" s="1"/>
    </row>
    <row r="92" spans="2:22">
      <c r="B92" s="1"/>
      <c r="C92" s="1"/>
      <c r="D92" s="1"/>
      <c r="E92" s="1"/>
      <c r="F92" s="1"/>
      <c r="G92" s="1"/>
      <c r="H92" s="1"/>
      <c r="I92" s="1"/>
      <c r="J92" s="1"/>
      <c r="K92" s="1"/>
      <c r="L92" s="1"/>
      <c r="M92" s="1"/>
      <c r="N92" s="1"/>
      <c r="O92" s="1"/>
      <c r="P92" s="1"/>
      <c r="Q92" s="1"/>
      <c r="R92" s="1"/>
      <c r="U92" s="1"/>
    </row>
    <row r="93" spans="2:22">
      <c r="B93" s="1"/>
      <c r="C93" s="1"/>
      <c r="D93" s="1"/>
      <c r="E93" s="1"/>
      <c r="F93" s="1"/>
      <c r="G93" s="1"/>
      <c r="H93" s="1"/>
      <c r="I93" s="1"/>
      <c r="J93" s="1"/>
      <c r="K93" s="1"/>
      <c r="L93" s="1"/>
      <c r="M93" s="1"/>
      <c r="N93" s="1"/>
      <c r="O93" s="1"/>
      <c r="P93" s="1"/>
      <c r="Q93" s="1"/>
      <c r="R93" s="1"/>
      <c r="S93" s="1"/>
      <c r="T93" s="1"/>
      <c r="U93" s="1"/>
      <c r="V93" s="1"/>
    </row>
    <row r="94" spans="2:22">
      <c r="B94" s="1"/>
      <c r="C94" s="1"/>
      <c r="D94" s="1"/>
      <c r="E94" s="1"/>
      <c r="F94" s="1"/>
      <c r="G94" s="1"/>
      <c r="H94" s="1"/>
      <c r="I94" s="1"/>
      <c r="J94" s="1"/>
      <c r="K94" s="1"/>
      <c r="L94" s="1"/>
      <c r="M94" s="1"/>
      <c r="N94" s="1"/>
      <c r="O94" s="1"/>
      <c r="P94" s="1"/>
      <c r="Q94" s="1"/>
      <c r="R94" s="1"/>
    </row>
    <row r="95" spans="2:22">
      <c r="B95" s="1"/>
      <c r="C95" s="1"/>
      <c r="D95" s="1"/>
      <c r="E95" s="1"/>
      <c r="F95" s="1"/>
      <c r="G95" s="1"/>
      <c r="H95" s="1"/>
      <c r="I95" s="1"/>
      <c r="J95" s="1"/>
      <c r="K95" s="1"/>
      <c r="L95" s="1"/>
      <c r="M95" s="1"/>
      <c r="N95" s="1"/>
      <c r="O95" s="1"/>
      <c r="P95" s="1"/>
      <c r="Q95" s="1"/>
      <c r="R95" s="1"/>
    </row>
    <row r="96" spans="2:22">
      <c r="B96" s="1"/>
      <c r="C96" s="1"/>
      <c r="D96" s="1"/>
      <c r="E96" s="1"/>
      <c r="F96" s="1"/>
      <c r="G96" s="1"/>
      <c r="H96" s="1"/>
      <c r="I96" s="1"/>
      <c r="J96" s="1"/>
      <c r="K96" s="1"/>
      <c r="L96" s="1"/>
      <c r="M96" s="1"/>
      <c r="N96" s="1"/>
      <c r="O96" s="1"/>
      <c r="P96" s="1"/>
      <c r="Q96" s="1"/>
      <c r="R96" s="1"/>
    </row>
    <row r="97" spans="2:21">
      <c r="B97" s="1"/>
      <c r="C97" s="1"/>
      <c r="D97" s="1"/>
      <c r="E97" s="1"/>
      <c r="F97" s="1"/>
      <c r="G97" s="1"/>
      <c r="H97" s="1"/>
      <c r="I97" s="1"/>
      <c r="J97" s="1"/>
      <c r="K97" s="1"/>
      <c r="L97" s="1"/>
      <c r="M97" s="1"/>
      <c r="N97" s="1"/>
      <c r="O97" s="1"/>
      <c r="P97" s="1"/>
      <c r="Q97" s="1"/>
      <c r="R97" s="1"/>
    </row>
    <row r="98" spans="2:21">
      <c r="B98" s="1"/>
      <c r="C98" s="1"/>
      <c r="D98" s="1"/>
      <c r="E98" s="1"/>
      <c r="F98" s="1"/>
      <c r="G98" s="1"/>
      <c r="H98" s="1"/>
      <c r="I98" s="1"/>
      <c r="J98" s="1"/>
      <c r="K98" s="1"/>
      <c r="L98" s="1"/>
      <c r="M98" s="1"/>
      <c r="N98" s="1"/>
      <c r="O98" s="1"/>
      <c r="P98" s="1"/>
      <c r="Q98" s="1"/>
      <c r="R98" s="1"/>
    </row>
    <row r="99" spans="2:21">
      <c r="B99" s="1"/>
      <c r="C99" s="1"/>
      <c r="D99" s="1"/>
      <c r="E99" s="1"/>
      <c r="F99" s="1"/>
      <c r="G99" s="1"/>
      <c r="H99" s="1"/>
      <c r="I99" s="1"/>
      <c r="J99" s="1"/>
      <c r="K99" s="1"/>
      <c r="L99" s="1"/>
      <c r="M99" s="1"/>
      <c r="N99" s="1"/>
      <c r="O99" s="1"/>
      <c r="P99" s="1"/>
      <c r="Q99" s="1"/>
      <c r="R99" s="1"/>
    </row>
    <row r="100" spans="2:21">
      <c r="B100" s="1"/>
      <c r="C100" s="1"/>
      <c r="D100" s="1"/>
      <c r="E100" s="1"/>
      <c r="F100" s="1"/>
      <c r="G100" s="1"/>
      <c r="H100" s="1"/>
      <c r="I100" s="1"/>
      <c r="J100" s="1"/>
      <c r="K100" s="1"/>
      <c r="L100" s="1"/>
      <c r="M100" s="1"/>
      <c r="N100" s="1"/>
      <c r="O100" s="1"/>
      <c r="P100" s="1"/>
      <c r="Q100" s="1"/>
      <c r="R100" s="1"/>
    </row>
    <row r="101" spans="2:21">
      <c r="B101" s="1"/>
      <c r="C101" s="1"/>
      <c r="D101" s="1"/>
      <c r="E101" s="1"/>
      <c r="F101" s="1"/>
      <c r="G101" s="1"/>
      <c r="H101" s="1"/>
      <c r="I101" s="1"/>
      <c r="J101" s="1"/>
      <c r="K101" s="1"/>
      <c r="L101" s="1"/>
      <c r="M101" s="1"/>
      <c r="N101" s="1"/>
      <c r="O101" s="1"/>
      <c r="P101" s="1"/>
      <c r="Q101" s="1"/>
      <c r="R101" s="1"/>
    </row>
    <row r="102" spans="2:21">
      <c r="B102" s="1"/>
      <c r="C102" s="1"/>
      <c r="D102" s="1"/>
      <c r="E102" s="1"/>
      <c r="F102" s="1"/>
      <c r="G102" s="1"/>
      <c r="H102" s="1"/>
      <c r="I102" s="1"/>
      <c r="J102" s="1"/>
      <c r="K102" s="1"/>
      <c r="L102" s="1"/>
      <c r="M102" s="1"/>
      <c r="N102" s="1"/>
      <c r="O102" s="1"/>
      <c r="P102" s="1"/>
      <c r="Q102" s="1"/>
      <c r="R102" s="1"/>
    </row>
    <row r="103" spans="2:21">
      <c r="B103" s="1"/>
      <c r="C103" s="1"/>
      <c r="D103" s="1"/>
      <c r="E103" s="1"/>
      <c r="F103" s="1"/>
      <c r="G103" s="1"/>
      <c r="H103" s="1"/>
      <c r="I103" s="1"/>
      <c r="J103" s="1"/>
      <c r="K103" s="1"/>
      <c r="L103" s="1"/>
      <c r="M103" s="1"/>
      <c r="N103" s="1"/>
      <c r="O103" s="1"/>
      <c r="P103" s="1"/>
      <c r="Q103" s="1"/>
      <c r="R103" s="1"/>
    </row>
    <row r="104" spans="2:21">
      <c r="B104" s="1"/>
      <c r="C104" s="1"/>
      <c r="D104" s="1"/>
      <c r="E104" s="1"/>
      <c r="F104" s="1"/>
      <c r="G104" s="1"/>
      <c r="H104" s="1"/>
      <c r="I104" s="1"/>
      <c r="J104" s="1"/>
      <c r="K104" s="1"/>
      <c r="L104" s="1"/>
      <c r="M104" s="1"/>
      <c r="N104" s="1"/>
      <c r="O104" s="1"/>
      <c r="P104" s="1"/>
      <c r="Q104" s="1"/>
      <c r="R104" s="1"/>
    </row>
    <row r="105" spans="2:21">
      <c r="B105" s="1"/>
      <c r="C105" s="1"/>
      <c r="D105" s="1"/>
      <c r="E105" s="1"/>
      <c r="F105" s="1"/>
      <c r="G105" s="1"/>
      <c r="H105" s="1"/>
      <c r="I105" s="1"/>
      <c r="J105" s="1"/>
      <c r="K105" s="1"/>
      <c r="L105" s="1"/>
      <c r="M105" s="1"/>
      <c r="N105" s="1"/>
      <c r="O105" s="1"/>
      <c r="P105" s="1"/>
      <c r="Q105" s="1"/>
      <c r="R105" s="1"/>
    </row>
    <row r="106" spans="2:21">
      <c r="B106" s="1"/>
      <c r="C106" s="1"/>
      <c r="D106" s="1"/>
      <c r="E106" s="1"/>
      <c r="F106" s="1"/>
      <c r="G106" s="1"/>
      <c r="H106" s="1"/>
      <c r="I106" s="1"/>
      <c r="J106" s="1"/>
      <c r="K106" s="1"/>
      <c r="L106" s="1"/>
      <c r="M106" s="1"/>
      <c r="N106" s="1"/>
      <c r="O106" s="1"/>
      <c r="P106" s="1"/>
      <c r="Q106" s="1"/>
      <c r="R106" s="1"/>
    </row>
    <row r="107" spans="2:21">
      <c r="B107" s="1"/>
      <c r="C107" s="1"/>
      <c r="D107" s="1"/>
      <c r="E107" s="1"/>
      <c r="F107" s="1"/>
      <c r="G107" s="1"/>
      <c r="H107" s="1"/>
      <c r="I107" s="1"/>
      <c r="J107" s="1"/>
      <c r="K107" s="1"/>
      <c r="L107" s="1"/>
      <c r="M107" s="1"/>
      <c r="N107" s="1"/>
      <c r="O107" s="1"/>
      <c r="P107" s="1"/>
      <c r="Q107" s="1"/>
      <c r="R107" s="1"/>
    </row>
    <row r="108" spans="2:21">
      <c r="B108" s="1"/>
      <c r="C108" s="1"/>
      <c r="D108" s="1"/>
      <c r="E108" s="1"/>
      <c r="F108" s="1"/>
      <c r="G108" s="1"/>
      <c r="H108" s="1"/>
      <c r="I108" s="1"/>
      <c r="J108" s="1"/>
      <c r="K108" s="1"/>
      <c r="L108" s="1"/>
      <c r="M108" s="1"/>
      <c r="N108" s="1"/>
      <c r="O108" s="1"/>
      <c r="P108" s="1"/>
      <c r="Q108" s="1"/>
      <c r="R108" s="1"/>
    </row>
    <row r="109" spans="2:21">
      <c r="B109" s="1"/>
      <c r="C109" s="1"/>
      <c r="D109" s="1"/>
      <c r="E109" s="1"/>
      <c r="F109" s="1"/>
      <c r="G109" s="1"/>
      <c r="H109" s="1"/>
      <c r="I109" s="1"/>
      <c r="J109" s="1"/>
      <c r="K109" s="1"/>
      <c r="L109" s="1"/>
      <c r="M109" s="1"/>
      <c r="N109" s="1"/>
      <c r="O109" s="1"/>
      <c r="P109" s="1"/>
      <c r="Q109" s="1"/>
      <c r="R109" s="1"/>
    </row>
    <row r="110" spans="2:21">
      <c r="B110" s="1"/>
      <c r="C110" s="1"/>
      <c r="D110" s="1"/>
      <c r="E110" s="1"/>
      <c r="F110" s="1"/>
      <c r="G110" s="1"/>
      <c r="H110" s="1"/>
      <c r="I110" s="1"/>
      <c r="J110" s="1"/>
      <c r="K110" s="1"/>
      <c r="L110" s="1"/>
      <c r="M110" s="1"/>
      <c r="N110" s="1"/>
      <c r="O110" s="1"/>
      <c r="P110" s="1"/>
      <c r="Q110" s="1"/>
      <c r="R110" s="1"/>
      <c r="S110" s="1"/>
      <c r="T110" s="1"/>
      <c r="U110" s="1"/>
    </row>
    <row r="111" spans="2:21">
      <c r="B111" s="14"/>
      <c r="C111" s="14"/>
      <c r="D111" s="14"/>
      <c r="E111" s="1"/>
      <c r="F111" s="1"/>
      <c r="G111" s="1"/>
      <c r="H111" s="1"/>
      <c r="I111" s="1"/>
      <c r="J111" s="1"/>
      <c r="K111" s="1"/>
      <c r="L111" s="1"/>
      <c r="M111" s="1"/>
      <c r="N111" s="1"/>
      <c r="O111" s="1"/>
      <c r="P111" s="1"/>
      <c r="Q111" s="1"/>
      <c r="R111" s="1"/>
      <c r="S111" s="1"/>
      <c r="T111" s="1"/>
      <c r="U111" s="1"/>
    </row>
    <row r="112" spans="2:21">
      <c r="B112" s="1"/>
      <c r="C112" s="1"/>
      <c r="D112" s="1"/>
      <c r="E112" s="1"/>
      <c r="F112" s="1"/>
      <c r="G112" s="1"/>
      <c r="H112" s="1"/>
      <c r="I112" s="1"/>
      <c r="J112" s="1"/>
      <c r="K112" s="1"/>
      <c r="L112" s="1"/>
      <c r="M112" s="1"/>
      <c r="N112" s="1"/>
      <c r="O112" s="1"/>
      <c r="P112" s="1"/>
      <c r="Q112" s="1"/>
      <c r="R112" s="1"/>
      <c r="S112" s="1"/>
      <c r="T112" s="1"/>
      <c r="U112" s="1"/>
    </row>
    <row r="113" spans="2:21">
      <c r="B113" s="1"/>
      <c r="C113" s="1"/>
      <c r="D113" s="1"/>
      <c r="E113" s="1"/>
      <c r="F113" s="1"/>
      <c r="G113" s="1"/>
      <c r="H113" s="1"/>
      <c r="I113" s="1"/>
      <c r="J113" s="1"/>
      <c r="K113" s="1"/>
      <c r="L113" s="1"/>
      <c r="M113" s="1"/>
      <c r="N113" s="1"/>
      <c r="O113" s="1"/>
      <c r="P113" s="1"/>
      <c r="Q113" s="1"/>
      <c r="R113" s="1"/>
      <c r="S113" s="1"/>
      <c r="T113" s="1"/>
      <c r="U113" s="1"/>
    </row>
    <row r="114" spans="2:21">
      <c r="B114" s="1"/>
      <c r="C114" s="1"/>
      <c r="D114" s="1"/>
      <c r="E114" s="1"/>
      <c r="F114" s="1"/>
      <c r="G114" s="1"/>
      <c r="H114" s="1"/>
      <c r="I114" s="1"/>
      <c r="J114" s="1"/>
      <c r="K114" s="1"/>
      <c r="L114" s="1"/>
      <c r="M114" s="1"/>
      <c r="N114" s="1"/>
      <c r="O114" s="1"/>
      <c r="P114" s="1"/>
      <c r="Q114" s="1"/>
      <c r="R114" s="1"/>
      <c r="S114" s="1"/>
      <c r="T114" s="1"/>
      <c r="U114" s="1"/>
    </row>
    <row r="115" spans="2:21">
      <c r="B115" s="1"/>
      <c r="C115" s="1"/>
      <c r="D115" s="1"/>
      <c r="E115" s="1"/>
      <c r="F115" s="1"/>
      <c r="G115" s="1"/>
      <c r="H115" s="1"/>
      <c r="I115" s="1"/>
      <c r="J115" s="1"/>
      <c r="K115" s="1"/>
      <c r="L115" s="1"/>
      <c r="M115" s="1"/>
      <c r="N115" s="1"/>
      <c r="O115" s="1"/>
      <c r="P115" s="1"/>
      <c r="Q115" s="1"/>
      <c r="R115" s="1"/>
      <c r="S115" s="1"/>
      <c r="T115" s="1"/>
      <c r="U115" s="1"/>
    </row>
    <row r="116" spans="2:21">
      <c r="B116" s="1"/>
      <c r="C116" s="1"/>
      <c r="D116" s="1"/>
      <c r="E116" s="1"/>
      <c r="F116" s="1"/>
      <c r="G116" s="1"/>
      <c r="H116" s="1"/>
      <c r="I116" s="1"/>
      <c r="J116" s="1"/>
      <c r="K116" s="1"/>
      <c r="L116" s="1"/>
      <c r="M116" s="1"/>
      <c r="N116" s="1"/>
      <c r="O116" s="1"/>
      <c r="P116" s="1"/>
      <c r="Q116" s="1"/>
      <c r="R116" s="1"/>
      <c r="S116" s="1"/>
      <c r="T116" s="1"/>
      <c r="U116" s="1"/>
    </row>
    <row r="117" spans="2:21">
      <c r="B117" s="1"/>
      <c r="C117" s="1"/>
      <c r="D117" s="1"/>
      <c r="E117" s="1"/>
      <c r="F117" s="1"/>
      <c r="G117" s="1"/>
      <c r="H117" s="1"/>
      <c r="I117" s="1"/>
      <c r="J117" s="1"/>
      <c r="K117" s="1"/>
      <c r="L117" s="1"/>
      <c r="M117" s="1"/>
      <c r="N117" s="1"/>
      <c r="O117" s="1"/>
      <c r="P117" s="1"/>
      <c r="Q117" s="1"/>
      <c r="R117" s="1"/>
      <c r="S117" s="1"/>
      <c r="T117" s="1"/>
      <c r="U117" s="1"/>
    </row>
    <row r="118" spans="2:21">
      <c r="B118" s="1"/>
      <c r="C118" s="1"/>
      <c r="D118" s="1"/>
      <c r="E118" s="1"/>
      <c r="F118" s="1"/>
      <c r="G118" s="1"/>
      <c r="H118" s="1"/>
      <c r="I118" s="1"/>
      <c r="J118" s="1"/>
      <c r="K118" s="1"/>
      <c r="L118" s="1"/>
      <c r="M118" s="1"/>
      <c r="N118" s="1"/>
      <c r="O118" s="1"/>
      <c r="P118" s="1"/>
      <c r="Q118" s="1"/>
      <c r="R118" s="1"/>
      <c r="S118" s="1"/>
      <c r="T118" s="1"/>
      <c r="U118" s="1"/>
    </row>
    <row r="119" spans="2:21">
      <c r="B119" s="1"/>
      <c r="C119" s="1"/>
      <c r="D119" s="1"/>
      <c r="E119" s="1"/>
      <c r="F119" s="1"/>
      <c r="G119" s="1"/>
      <c r="H119" s="1"/>
      <c r="I119" s="1"/>
      <c r="J119" s="1"/>
      <c r="K119" s="1"/>
      <c r="L119" s="1"/>
      <c r="M119" s="1"/>
      <c r="N119" s="1"/>
      <c r="O119" s="1"/>
      <c r="P119" s="1"/>
      <c r="Q119" s="1"/>
      <c r="R119" s="1"/>
      <c r="S119" s="1"/>
      <c r="T119" s="1"/>
      <c r="U119" s="1"/>
    </row>
    <row r="120" spans="2:21">
      <c r="B120" s="1"/>
      <c r="C120" s="1"/>
      <c r="D120" s="1"/>
      <c r="E120" s="1"/>
      <c r="F120" s="1"/>
      <c r="G120" s="1"/>
      <c r="H120" s="1"/>
      <c r="I120" s="1"/>
      <c r="J120" s="1"/>
      <c r="K120" s="1"/>
      <c r="L120" s="1"/>
      <c r="M120" s="1"/>
      <c r="N120" s="1"/>
      <c r="O120" s="1"/>
      <c r="P120" s="1"/>
      <c r="Q120" s="1"/>
      <c r="R120" s="1"/>
      <c r="S120" s="1"/>
      <c r="T120" s="1"/>
      <c r="U120" s="1"/>
    </row>
    <row r="121" spans="2:21">
      <c r="B121" s="1"/>
      <c r="C121" s="1"/>
      <c r="D121" s="1"/>
      <c r="E121" s="1"/>
      <c r="F121" s="1"/>
      <c r="G121" s="1"/>
      <c r="H121" s="1"/>
      <c r="I121" s="1"/>
      <c r="J121" s="1"/>
      <c r="K121" s="1"/>
      <c r="L121" s="1"/>
      <c r="M121" s="1"/>
      <c r="N121" s="1"/>
      <c r="O121" s="1"/>
      <c r="P121" s="1"/>
      <c r="Q121" s="1"/>
      <c r="R121" s="1"/>
      <c r="S121" s="1"/>
      <c r="T121" s="1"/>
      <c r="U121" s="1"/>
    </row>
    <row r="122" spans="2:21">
      <c r="B122" s="1"/>
      <c r="C122" s="1"/>
      <c r="D122" s="1"/>
      <c r="E122" s="1"/>
      <c r="F122" s="1"/>
      <c r="G122" s="1"/>
      <c r="H122" s="1"/>
      <c r="I122" s="1"/>
      <c r="J122" s="1"/>
      <c r="K122" s="1"/>
      <c r="L122" s="1"/>
      <c r="M122" s="1"/>
      <c r="N122" s="1"/>
      <c r="O122" s="1"/>
      <c r="P122" s="1"/>
      <c r="Q122" s="1"/>
      <c r="R122" s="1"/>
      <c r="S122" s="1"/>
      <c r="T122" s="1"/>
      <c r="U122" s="1"/>
    </row>
    <row r="123" spans="2:21">
      <c r="B123" s="1"/>
      <c r="C123" s="1"/>
      <c r="D123" s="1"/>
      <c r="E123" s="1"/>
      <c r="F123" s="1"/>
      <c r="G123" s="1"/>
      <c r="H123" s="1"/>
      <c r="I123" s="1"/>
      <c r="J123" s="1"/>
      <c r="K123" s="1"/>
      <c r="L123" s="1"/>
      <c r="M123" s="1"/>
      <c r="N123" s="1"/>
      <c r="O123" s="1"/>
      <c r="P123" s="1"/>
      <c r="Q123" s="1"/>
      <c r="R123" s="1"/>
      <c r="S123" s="1"/>
      <c r="T123" s="1"/>
      <c r="U123" s="1"/>
    </row>
    <row r="124" spans="2:21">
      <c r="B124" s="1"/>
      <c r="C124" s="1"/>
      <c r="D124" s="1"/>
      <c r="E124" s="1"/>
      <c r="F124" s="1"/>
      <c r="G124" s="1"/>
      <c r="H124" s="1"/>
      <c r="I124" s="1"/>
      <c r="J124" s="1"/>
      <c r="K124" s="1"/>
      <c r="L124" s="1"/>
      <c r="M124" s="1"/>
      <c r="N124" s="1"/>
      <c r="O124" s="1"/>
      <c r="P124" s="1"/>
      <c r="Q124" s="1"/>
      <c r="R124" s="1"/>
      <c r="S124" s="1"/>
      <c r="T124" s="1"/>
      <c r="U124" s="1"/>
    </row>
    <row r="125" spans="2:21">
      <c r="B125" s="1"/>
      <c r="C125" s="1"/>
      <c r="D125" s="1"/>
      <c r="E125" s="1"/>
      <c r="F125" s="1"/>
      <c r="G125" s="1"/>
      <c r="H125" s="1"/>
      <c r="I125" s="1"/>
      <c r="J125" s="1"/>
      <c r="K125" s="1"/>
      <c r="L125" s="1"/>
      <c r="M125" s="1"/>
      <c r="N125" s="1"/>
      <c r="O125" s="1"/>
      <c r="P125" s="1"/>
      <c r="Q125" s="1"/>
      <c r="R125" s="1"/>
      <c r="S125" s="1"/>
      <c r="T125" s="1"/>
      <c r="U125" s="1"/>
    </row>
    <row r="126" spans="2:21">
      <c r="R126" s="1"/>
      <c r="S126" s="1"/>
      <c r="T126" s="1"/>
      <c r="U126" s="1"/>
    </row>
    <row r="127" spans="2:21">
      <c r="R127" s="1"/>
      <c r="S127" s="1"/>
      <c r="T127" s="1"/>
      <c r="U127" s="1"/>
    </row>
    <row r="128" spans="2:21">
      <c r="R128" s="1"/>
      <c r="S128" s="1"/>
      <c r="T128" s="1"/>
      <c r="U128" s="1"/>
    </row>
    <row r="129" spans="18:22">
      <c r="R129" s="1"/>
      <c r="S129" s="1"/>
      <c r="T129" s="1"/>
      <c r="U129" s="1"/>
    </row>
    <row r="130" spans="18:22">
      <c r="R130" s="1"/>
      <c r="S130" s="1"/>
      <c r="T130" s="1"/>
      <c r="U130" s="1"/>
    </row>
    <row r="131" spans="18:22">
      <c r="R131" s="1"/>
      <c r="S131" s="1"/>
      <c r="T131" s="1"/>
      <c r="U131" s="1"/>
      <c r="V131" s="1"/>
    </row>
    <row r="132" spans="18:22">
      <c r="R132" s="1"/>
      <c r="S132" s="1"/>
      <c r="T132" s="1"/>
      <c r="U132" s="1"/>
    </row>
    <row r="133" spans="18:22">
      <c r="R133" s="1"/>
      <c r="S133" s="1"/>
      <c r="T133" s="1"/>
      <c r="U133" s="1"/>
    </row>
    <row r="134" spans="18:22">
      <c r="S134" s="1"/>
      <c r="T134" s="1"/>
      <c r="U134" s="1"/>
    </row>
    <row r="135" spans="18:22">
      <c r="S135" s="1"/>
      <c r="T135" s="1"/>
      <c r="U135" s="1"/>
    </row>
    <row r="136" spans="18:22">
      <c r="S136" s="1"/>
      <c r="T136" s="1"/>
      <c r="U136" s="1"/>
    </row>
    <row r="137" spans="18:22">
      <c r="S137" s="1"/>
      <c r="T137" s="1"/>
      <c r="U137" s="1"/>
    </row>
    <row r="138" spans="18:22">
      <c r="S138" s="1"/>
      <c r="T138" s="1"/>
      <c r="U138" s="1"/>
    </row>
    <row r="139" spans="18:22">
      <c r="S139" s="1"/>
      <c r="T139" s="1"/>
      <c r="U139" s="1"/>
    </row>
    <row r="140" spans="18:22">
      <c r="S140" t="s">
        <v>98</v>
      </c>
    </row>
    <row r="141" spans="18:22">
      <c r="S141" t="s">
        <v>98</v>
      </c>
    </row>
  </sheetData>
  <sheetProtection algorithmName="SHA-512" hashValue="r5oHxcY0dmycBvI08CBxOdy72u9N/zOujhqGdNL+DTvY1pjLwAeKZn9eEzRldFIBASxaF6Tv6YimskE1DvLtWw==" saltValue="+SYcI3cuEOIyj9BEmrLfgQ==" spinCount="100000" sheet="1" objects="1" scenarios="1"/>
  <mergeCells count="49">
    <mergeCell ref="E41:F41"/>
    <mergeCell ref="G10:L10"/>
    <mergeCell ref="T16:U18"/>
    <mergeCell ref="T13:U15"/>
    <mergeCell ref="T11:U12"/>
    <mergeCell ref="S9:V10"/>
    <mergeCell ref="E22:P23"/>
    <mergeCell ref="E55:F55"/>
    <mergeCell ref="E66:M66"/>
    <mergeCell ref="K49:P49"/>
    <mergeCell ref="L50:O50"/>
    <mergeCell ref="H50:J50"/>
    <mergeCell ref="E60:F60"/>
    <mergeCell ref="E62:G62"/>
    <mergeCell ref="E49:J49"/>
    <mergeCell ref="E58:F58"/>
    <mergeCell ref="E56:J56"/>
    <mergeCell ref="S2:V3"/>
    <mergeCell ref="E37:J37"/>
    <mergeCell ref="H2:J4"/>
    <mergeCell ref="K2:P4"/>
    <mergeCell ref="H8:J8"/>
    <mergeCell ref="K8:L8"/>
    <mergeCell ref="H6:J6"/>
    <mergeCell ref="K6:P6"/>
    <mergeCell ref="E21:K21"/>
    <mergeCell ref="E18:O18"/>
    <mergeCell ref="E19:O19"/>
    <mergeCell ref="B10:F11"/>
    <mergeCell ref="E24:J24"/>
    <mergeCell ref="M8:P8"/>
    <mergeCell ref="G11:L11"/>
    <mergeCell ref="T19:U21"/>
    <mergeCell ref="E82:M82"/>
    <mergeCell ref="F85:H85"/>
    <mergeCell ref="T5:U6"/>
    <mergeCell ref="F77:H77"/>
    <mergeCell ref="F78:H78"/>
    <mergeCell ref="F46:H46"/>
    <mergeCell ref="E81:G81"/>
    <mergeCell ref="E68:I68"/>
    <mergeCell ref="F70:H70"/>
    <mergeCell ref="E73:J73"/>
    <mergeCell ref="E75:J75"/>
    <mergeCell ref="E83:L83"/>
    <mergeCell ref="B15:G15"/>
    <mergeCell ref="B17:G17"/>
    <mergeCell ref="F79:H79"/>
    <mergeCell ref="E44:G44"/>
  </mergeCells>
  <dataValidations count="1">
    <dataValidation type="list" allowBlank="1" showInputMessage="1" showErrorMessage="1" sqref="R21">
      <formula1>$R$22:$R$37</formula1>
    </dataValidation>
  </dataValidations>
  <hyperlinks>
    <hyperlink ref="B10:F11" r:id="rId1" display="Notice :"/>
    <hyperlink ref="T11:U12" r:id="rId2" display="- Notre FAQ sur le sujet (lien ici)"/>
    <hyperlink ref="T13:U15" r:id="rId3" display="- Le décret 2020-1328 du 02/11/2020 (lien ici)"/>
    <hyperlink ref="T19:U21" r:id="rId4" display="- Notion de fermeture administrative définie au décret 2020-1310 du 29/10/2020 (lien ici)"/>
    <hyperlink ref="T16:U18" r:id="rId5" display="- Notre résumé du décret 2020-1328 du 02/11/2020 (lien ici)"/>
  </hyperlinks>
  <pageMargins left="0.7" right="0.7" top="0.75" bottom="0.75" header="0.3" footer="0.3"/>
  <pageSetup paperSize="9" orientation="portrait" horizontalDpi="1200" verticalDpi="1200" r:id="rId6"/>
  <drawing r:id="rId7"/>
  <legacyDrawing r:id="rId8"/>
  <mc:AlternateContent xmlns:mc="http://schemas.openxmlformats.org/markup-compatibility/2006">
    <mc:Choice Requires="x14">
      <controls>
        <mc:AlternateContent xmlns:mc="http://schemas.openxmlformats.org/markup-compatibility/2006">
          <mc:Choice Requires="x14">
            <control shapeId="2052" r:id="rId9" name="Drop Down 4">
              <controlPr defaultSize="0" autoLine="0" autoPict="0">
                <anchor moveWithCells="1">
                  <from>
                    <xdr:col>7</xdr:col>
                    <xdr:colOff>9525</xdr:colOff>
                    <xdr:row>14</xdr:row>
                    <xdr:rowOff>0</xdr:rowOff>
                  </from>
                  <to>
                    <xdr:col>15</xdr:col>
                    <xdr:colOff>800100</xdr:colOff>
                    <xdr:row>15</xdr:row>
                    <xdr:rowOff>0</xdr:rowOff>
                  </to>
                </anchor>
              </controlPr>
            </control>
          </mc:Choice>
        </mc:AlternateContent>
        <mc:AlternateContent xmlns:mc="http://schemas.openxmlformats.org/markup-compatibility/2006">
          <mc:Choice Requires="x14">
            <control shapeId="2053" r:id="rId10" name="Drop Down 5">
              <controlPr defaultSize="0" autoLine="0" autoPict="0">
                <anchor moveWithCells="1">
                  <from>
                    <xdr:col>7</xdr:col>
                    <xdr:colOff>9525</xdr:colOff>
                    <xdr:row>16</xdr:row>
                    <xdr:rowOff>0</xdr:rowOff>
                  </from>
                  <to>
                    <xdr:col>15</xdr:col>
                    <xdr:colOff>809625</xdr:colOff>
                    <xdr:row>17</xdr:row>
                    <xdr:rowOff>0</xdr:rowOff>
                  </to>
                </anchor>
              </controlPr>
            </control>
          </mc:Choice>
        </mc:AlternateContent>
        <mc:AlternateContent xmlns:mc="http://schemas.openxmlformats.org/markup-compatibility/2006">
          <mc:Choice Requires="x14">
            <control shapeId="2054" r:id="rId11" name="Check Box 6">
              <controlPr defaultSize="0" autoFill="0" autoLine="0" autoPict="0" altText="Interdiction d'accueil du public (du ... au ...)">
                <anchor moveWithCells="1">
                  <from>
                    <xdr:col>3</xdr:col>
                    <xdr:colOff>19050</xdr:colOff>
                    <xdr:row>23</xdr:row>
                    <xdr:rowOff>0</xdr:rowOff>
                  </from>
                  <to>
                    <xdr:col>9</xdr:col>
                    <xdr:colOff>676275</xdr:colOff>
                    <xdr:row>24</xdr:row>
                    <xdr:rowOff>0</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3</xdr:col>
                    <xdr:colOff>28575</xdr:colOff>
                    <xdr:row>20</xdr:row>
                    <xdr:rowOff>9525</xdr:rowOff>
                  </from>
                  <to>
                    <xdr:col>9</xdr:col>
                    <xdr:colOff>685800</xdr:colOff>
                    <xdr:row>20</xdr:row>
                    <xdr:rowOff>190500</xdr:rowOff>
                  </to>
                </anchor>
              </controlPr>
            </control>
          </mc:Choice>
        </mc:AlternateContent>
        <mc:AlternateContent xmlns:mc="http://schemas.openxmlformats.org/markup-compatibility/2006">
          <mc:Choice Requires="x14">
            <control shapeId="2056" r:id="rId13" name="Drop Down 8">
              <controlPr defaultSize="0" autoLine="0" autoPict="0">
                <anchor moveWithCells="1">
                  <from>
                    <xdr:col>12</xdr:col>
                    <xdr:colOff>361950</xdr:colOff>
                    <xdr:row>26</xdr:row>
                    <xdr:rowOff>180975</xdr:rowOff>
                  </from>
                  <to>
                    <xdr:col>12</xdr:col>
                    <xdr:colOff>800100</xdr:colOff>
                    <xdr:row>28</xdr:row>
                    <xdr:rowOff>9525</xdr:rowOff>
                  </to>
                </anchor>
              </controlPr>
            </control>
          </mc:Choice>
        </mc:AlternateContent>
        <mc:AlternateContent xmlns:mc="http://schemas.openxmlformats.org/markup-compatibility/2006">
          <mc:Choice Requires="x14">
            <control shapeId="2057" r:id="rId14" name="Drop Down 9">
              <controlPr defaultSize="0" autoLine="0" autoPict="0">
                <anchor moveWithCells="1">
                  <from>
                    <xdr:col>15</xdr:col>
                    <xdr:colOff>323850</xdr:colOff>
                    <xdr:row>27</xdr:row>
                    <xdr:rowOff>9525</xdr:rowOff>
                  </from>
                  <to>
                    <xdr:col>15</xdr:col>
                    <xdr:colOff>790575</xdr:colOff>
                    <xdr:row>28</xdr:row>
                    <xdr:rowOff>9525</xdr:rowOff>
                  </to>
                </anchor>
              </controlPr>
            </control>
          </mc:Choice>
        </mc:AlternateContent>
        <mc:AlternateContent xmlns:mc="http://schemas.openxmlformats.org/markup-compatibility/2006">
          <mc:Choice Requires="x14">
            <control shapeId="2058" r:id="rId15" name="Check Box 10">
              <controlPr defaultSize="0" autoFill="0" autoLine="0" autoPict="0" altText="Interdiction d'accueil du public (du ... au ...)">
                <anchor moveWithCells="1">
                  <from>
                    <xdr:col>3</xdr:col>
                    <xdr:colOff>19050</xdr:colOff>
                    <xdr:row>36</xdr:row>
                    <xdr:rowOff>9525</xdr:rowOff>
                  </from>
                  <to>
                    <xdr:col>9</xdr:col>
                    <xdr:colOff>704850</xdr:colOff>
                    <xdr:row>36</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8ECFDD"/>
  </sheetPr>
  <dimension ref="A3:AH132"/>
  <sheetViews>
    <sheetView showGridLines="0" workbookViewId="0">
      <selection activeCell="B2" sqref="B2"/>
    </sheetView>
  </sheetViews>
  <sheetFormatPr baseColWidth="10" defaultRowHeight="15"/>
  <cols>
    <col min="2" max="2" width="6" customWidth="1"/>
    <col min="3" max="3" width="4" customWidth="1"/>
    <col min="7" max="7" width="7.85546875" customWidth="1"/>
    <col min="8" max="8" width="3.42578125" customWidth="1"/>
    <col min="9" max="9" width="16.5703125" customWidth="1"/>
    <col min="10" max="10" width="4.42578125" customWidth="1"/>
    <col min="11" max="11" width="10.5703125" customWidth="1"/>
    <col min="13" max="14" width="4.85546875" customWidth="1"/>
    <col min="15" max="15" width="17.28515625" customWidth="1"/>
    <col min="19" max="19" width="7.5703125" customWidth="1"/>
    <col min="20" max="20" width="12.85546875" hidden="1" customWidth="1"/>
    <col min="21" max="23" width="11.42578125" hidden="1" customWidth="1"/>
    <col min="24" max="24" width="4.42578125" hidden="1" customWidth="1"/>
    <col min="25" max="25" width="15.140625" hidden="1" customWidth="1"/>
    <col min="26" max="26" width="3" hidden="1" customWidth="1"/>
    <col min="27" max="27" width="3.7109375" hidden="1" customWidth="1"/>
    <col min="28" max="28" width="12.85546875" hidden="1" customWidth="1"/>
    <col min="29" max="29" width="3.7109375" hidden="1" customWidth="1"/>
    <col min="30" max="30" width="3.85546875" hidden="1" customWidth="1"/>
    <col min="31" max="31" width="11.42578125" hidden="1" customWidth="1"/>
  </cols>
  <sheetData>
    <row r="3" spans="2:34" ht="15" customHeight="1">
      <c r="B3" s="5"/>
      <c r="C3" s="99"/>
      <c r="D3" s="99"/>
      <c r="E3" s="99"/>
      <c r="F3" s="289" t="s">
        <v>219</v>
      </c>
      <c r="G3" s="289"/>
      <c r="H3" s="289"/>
      <c r="I3" s="289"/>
      <c r="J3" s="289"/>
      <c r="K3" s="289"/>
      <c r="L3" s="289"/>
      <c r="M3" s="289"/>
      <c r="N3" s="289"/>
      <c r="O3" s="289"/>
      <c r="R3" s="131"/>
    </row>
    <row r="4" spans="2:34" ht="15" customHeight="1">
      <c r="B4" s="99"/>
      <c r="C4" s="99"/>
      <c r="D4" s="99"/>
      <c r="E4" s="99"/>
      <c r="F4" s="289"/>
      <c r="G4" s="289"/>
      <c r="H4" s="289"/>
      <c r="I4" s="289"/>
      <c r="J4" s="289"/>
      <c r="K4" s="289"/>
      <c r="L4" s="289"/>
      <c r="M4" s="289"/>
      <c r="N4" s="289"/>
      <c r="O4" s="289"/>
      <c r="P4" s="121"/>
    </row>
    <row r="5" spans="2:34" ht="15" customHeight="1">
      <c r="B5" s="99"/>
      <c r="C5" s="99"/>
      <c r="D5" s="99"/>
      <c r="E5" s="99"/>
      <c r="F5" s="289"/>
      <c r="G5" s="289"/>
      <c r="H5" s="289"/>
      <c r="I5" s="289"/>
      <c r="J5" s="289"/>
      <c r="K5" s="289"/>
      <c r="L5" s="289"/>
      <c r="M5" s="289"/>
      <c r="N5" s="289"/>
      <c r="O5" s="289"/>
    </row>
    <row r="6" spans="2:34" ht="15" customHeight="1">
      <c r="B6" s="99"/>
      <c r="C6" s="99"/>
      <c r="D6" s="99"/>
      <c r="E6" s="99"/>
      <c r="F6" s="289"/>
      <c r="G6" s="289"/>
      <c r="H6" s="289"/>
      <c r="I6" s="289"/>
      <c r="J6" s="289"/>
      <c r="K6" s="289"/>
      <c r="L6" s="289"/>
      <c r="M6" s="289"/>
      <c r="N6" s="289"/>
      <c r="O6" s="289"/>
    </row>
    <row r="7" spans="2:34">
      <c r="B7" s="16"/>
      <c r="C7" s="16"/>
      <c r="D7" s="16"/>
      <c r="E7" s="16"/>
      <c r="F7" s="16"/>
      <c r="G7" s="130"/>
      <c r="H7" s="16"/>
      <c r="I7" s="16"/>
      <c r="J7" s="16"/>
      <c r="K7" s="16"/>
      <c r="L7" s="16"/>
      <c r="M7" s="16"/>
      <c r="N7" s="16"/>
    </row>
    <row r="8" spans="2:34" ht="15.75">
      <c r="B8" s="290" t="s">
        <v>128</v>
      </c>
      <c r="C8" s="290"/>
      <c r="D8" s="290"/>
      <c r="E8" s="290"/>
      <c r="F8" s="290"/>
      <c r="G8" s="290"/>
      <c r="H8" s="290"/>
      <c r="I8" s="290"/>
      <c r="J8" s="290"/>
      <c r="K8" s="290"/>
      <c r="L8" s="290"/>
      <c r="M8" s="290"/>
      <c r="N8" s="290"/>
      <c r="O8" s="290"/>
    </row>
    <row r="9" spans="2:34" ht="15" customHeight="1">
      <c r="B9" s="291" t="s">
        <v>127</v>
      </c>
      <c r="C9" s="291"/>
      <c r="D9" s="291"/>
      <c r="E9" s="291"/>
      <c r="F9" s="291"/>
      <c r="G9" s="291"/>
      <c r="H9" s="291"/>
      <c r="I9" s="291"/>
      <c r="J9" s="291"/>
      <c r="K9" s="291"/>
      <c r="L9" s="291"/>
      <c r="M9" s="291"/>
      <c r="N9" s="291"/>
      <c r="O9" s="291"/>
    </row>
    <row r="10" spans="2:34" ht="15" customHeight="1">
      <c r="B10" s="291"/>
      <c r="C10" s="291"/>
      <c r="D10" s="291"/>
      <c r="E10" s="291"/>
      <c r="F10" s="291"/>
      <c r="G10" s="291"/>
      <c r="H10" s="291"/>
      <c r="I10" s="291"/>
      <c r="J10" s="291"/>
      <c r="K10" s="291"/>
      <c r="L10" s="291"/>
      <c r="M10" s="291"/>
      <c r="N10" s="291"/>
      <c r="O10" s="291"/>
    </row>
    <row r="11" spans="2:34" ht="15.75">
      <c r="B11" s="290" t="s">
        <v>220</v>
      </c>
      <c r="C11" s="290"/>
      <c r="D11" s="290"/>
      <c r="E11" s="290"/>
      <c r="F11" s="290"/>
      <c r="G11" s="290"/>
      <c r="H11" s="290"/>
      <c r="I11" s="290"/>
      <c r="J11" s="290"/>
      <c r="K11" s="290"/>
      <c r="L11" s="290"/>
      <c r="M11" s="290"/>
      <c r="N11" s="290"/>
      <c r="O11" s="290"/>
      <c r="P11" s="121"/>
      <c r="Q11" s="121"/>
      <c r="R11" s="121"/>
      <c r="S11" s="121"/>
    </row>
    <row r="12" spans="2:34">
      <c r="R12" t="s">
        <v>98</v>
      </c>
    </row>
    <row r="13" spans="2:34">
      <c r="B13" s="201" t="s">
        <v>224</v>
      </c>
      <c r="C13" s="201"/>
      <c r="D13" s="201"/>
      <c r="E13" s="201"/>
      <c r="F13" s="201"/>
      <c r="G13" s="201"/>
      <c r="H13" s="201"/>
      <c r="I13" s="201"/>
      <c r="J13" s="201"/>
      <c r="K13" s="201"/>
      <c r="L13" s="201"/>
      <c r="M13" s="201"/>
      <c r="N13" s="201"/>
      <c r="O13" s="201"/>
      <c r="S13" s="131"/>
      <c r="T13" s="274" t="s">
        <v>126</v>
      </c>
      <c r="U13" s="274"/>
      <c r="V13" s="274"/>
      <c r="W13" s="274"/>
      <c r="X13" s="274"/>
      <c r="Y13" s="274"/>
      <c r="Z13" s="274"/>
      <c r="AA13" s="274"/>
      <c r="AB13" s="274"/>
      <c r="AC13" s="274"/>
      <c r="AD13" s="274"/>
      <c r="AE13" s="274"/>
      <c r="AF13" s="1"/>
      <c r="AG13" s="1"/>
      <c r="AH13" s="1"/>
    </row>
    <row r="14" spans="2:34">
      <c r="S14" s="131"/>
      <c r="T14" s="274"/>
      <c r="U14" s="274"/>
      <c r="V14" s="274"/>
      <c r="W14" s="274"/>
      <c r="X14" s="274"/>
      <c r="Y14" s="274"/>
      <c r="Z14" s="274"/>
      <c r="AA14" s="274"/>
      <c r="AB14" s="274"/>
      <c r="AC14" s="274"/>
      <c r="AD14" s="274"/>
      <c r="AE14" s="274"/>
      <c r="AF14" s="1"/>
      <c r="AG14" s="1"/>
      <c r="AH14" s="1"/>
    </row>
    <row r="15" spans="2:34" ht="19.5" customHeight="1" thickBot="1">
      <c r="B15" s="81"/>
      <c r="C15" s="251" t="s">
        <v>112</v>
      </c>
      <c r="D15" s="251"/>
      <c r="E15" s="251"/>
      <c r="F15" s="251"/>
      <c r="G15" s="251"/>
      <c r="H15" s="251"/>
      <c r="I15" s="82"/>
      <c r="J15" s="81"/>
      <c r="K15" s="81"/>
      <c r="L15" s="81"/>
      <c r="M15" s="81"/>
      <c r="N15" s="81"/>
      <c r="O15" s="81"/>
      <c r="T15" s="274"/>
      <c r="U15" s="274"/>
      <c r="V15" s="274"/>
      <c r="W15" s="274"/>
      <c r="X15" s="274"/>
      <c r="Y15" s="274"/>
      <c r="Z15" s="274"/>
      <c r="AA15" s="274"/>
      <c r="AB15" s="274"/>
      <c r="AC15" s="274"/>
      <c r="AD15" s="274"/>
      <c r="AE15" s="274"/>
      <c r="AF15" s="1"/>
      <c r="AG15" s="1"/>
      <c r="AH15" s="1"/>
    </row>
    <row r="16" spans="2:34" ht="15" customHeight="1">
      <c r="B16" s="1"/>
      <c r="C16" s="134"/>
      <c r="D16" s="134"/>
      <c r="E16" s="134"/>
      <c r="F16" s="134"/>
      <c r="G16" s="134"/>
      <c r="H16" s="134"/>
      <c r="I16" s="55"/>
      <c r="J16" s="1"/>
      <c r="K16" s="1"/>
      <c r="L16" s="1"/>
      <c r="M16" s="1"/>
      <c r="N16" s="1"/>
      <c r="O16" s="1"/>
      <c r="S16" s="131"/>
      <c r="T16" s="129"/>
      <c r="U16" s="129"/>
      <c r="V16" s="129"/>
      <c r="W16" s="129"/>
      <c r="X16" s="129"/>
      <c r="Y16" s="129"/>
      <c r="Z16" s="129"/>
      <c r="AA16" s="129"/>
      <c r="AB16" s="129"/>
      <c r="AC16" s="129"/>
      <c r="AD16" s="129"/>
      <c r="AE16" s="129"/>
      <c r="AF16" s="1"/>
      <c r="AG16" s="1"/>
      <c r="AH16" s="1"/>
    </row>
    <row r="17" spans="2:34" hidden="1">
      <c r="B17" s="55"/>
      <c r="C17" s="51"/>
      <c r="D17" s="51"/>
      <c r="E17" s="51"/>
      <c r="F17" s="51"/>
      <c r="G17" s="51"/>
      <c r="H17" s="51"/>
      <c r="I17" s="55"/>
      <c r="J17" s="55"/>
      <c r="K17" s="55"/>
      <c r="L17" s="55"/>
      <c r="M17" s="55"/>
      <c r="N17" s="55"/>
      <c r="O17" s="55"/>
      <c r="P17" s="1"/>
      <c r="Q17" s="1"/>
      <c r="R17" s="1"/>
      <c r="S17" s="131"/>
      <c r="T17" s="23"/>
      <c r="U17" s="18"/>
      <c r="V17" s="18"/>
      <c r="W17" s="18"/>
      <c r="X17" s="18"/>
      <c r="Y17" s="18"/>
      <c r="Z17" s="18"/>
      <c r="AA17" s="18"/>
      <c r="AB17" s="18"/>
      <c r="AC17" s="18"/>
      <c r="AD17" s="18"/>
      <c r="AE17" s="19"/>
      <c r="AF17" s="1"/>
      <c r="AG17" s="1"/>
      <c r="AH17" s="1"/>
    </row>
    <row r="18" spans="2:34" ht="15" hidden="1" customHeight="1">
      <c r="B18" s="51"/>
      <c r="C18" s="241" t="s">
        <v>122</v>
      </c>
      <c r="D18" s="241"/>
      <c r="E18" s="241"/>
      <c r="F18" s="241"/>
      <c r="G18" s="241"/>
      <c r="H18" s="241"/>
      <c r="I18" s="241"/>
      <c r="J18" s="51"/>
      <c r="K18" s="51"/>
      <c r="L18" s="51"/>
      <c r="M18" s="51"/>
      <c r="N18" s="51"/>
      <c r="O18" s="51"/>
      <c r="S18" s="131"/>
      <c r="T18" s="33"/>
      <c r="U18" s="274" t="s">
        <v>113</v>
      </c>
      <c r="V18" s="274"/>
      <c r="W18" s="274"/>
      <c r="X18" s="1"/>
      <c r="Y18" s="143" t="s">
        <v>97</v>
      </c>
      <c r="Z18" s="143"/>
      <c r="AA18" s="155"/>
      <c r="AB18" s="143" t="s">
        <v>116</v>
      </c>
      <c r="AC18" s="143"/>
      <c r="AD18" s="155"/>
      <c r="AE18" s="34" t="s">
        <v>117</v>
      </c>
      <c r="AF18" s="1"/>
      <c r="AG18" s="1"/>
      <c r="AH18" s="1"/>
    </row>
    <row r="19" spans="2:34" ht="15" hidden="1" customHeight="1">
      <c r="B19" s="51"/>
      <c r="C19" s="78" t="s">
        <v>98</v>
      </c>
      <c r="D19" s="141" t="s">
        <v>186</v>
      </c>
      <c r="E19" s="141"/>
      <c r="F19" s="141"/>
      <c r="G19" s="141"/>
      <c r="H19" s="141"/>
      <c r="I19" s="141"/>
      <c r="J19" s="56"/>
      <c r="K19" s="56"/>
      <c r="L19" s="56"/>
      <c r="M19" s="51"/>
      <c r="N19" s="51"/>
      <c r="O19" s="51"/>
      <c r="S19" s="131"/>
      <c r="T19" s="262" t="s">
        <v>114</v>
      </c>
      <c r="U19" s="249"/>
      <c r="V19" s="249"/>
      <c r="W19" s="249"/>
      <c r="X19" s="1"/>
      <c r="Y19" s="29">
        <f>'Mon Entreprise'!I52</f>
        <v>0</v>
      </c>
      <c r="Z19" s="29"/>
      <c r="AA19" s="30"/>
      <c r="AB19" s="29">
        <f>IF('Mon Entreprise'!I52-'Mon Entreprise'!M52&lt;0,0,'Mon Entreprise'!I52-'Mon Entreprise'!M52)</f>
        <v>0</v>
      </c>
      <c r="AC19" s="1"/>
      <c r="AD19" s="21"/>
      <c r="AE19" s="35">
        <f>IFERROR(1-'Mon Entreprise'!M52/'Mon Entreprise'!I52,0)</f>
        <v>0</v>
      </c>
      <c r="AF19" s="1"/>
      <c r="AG19" s="1"/>
      <c r="AH19" s="1"/>
    </row>
    <row r="20" spans="2:34" ht="15" hidden="1" customHeight="1">
      <c r="B20" s="51"/>
      <c r="C20" s="78"/>
      <c r="D20" s="78" t="str">
        <f>"Nombre de jours de fermetures au mois de Septembre : "&amp;IF(Annexes!M5=FALSE,0,IF(Annexes!O5=1,0,Annexes!O5-1))&amp;" jour(s)"</f>
        <v>Nombre de jours de fermetures au mois de Septembre : 0 jour(s)</v>
      </c>
      <c r="E20" s="78"/>
      <c r="F20" s="78"/>
      <c r="G20" s="78"/>
      <c r="H20" s="78"/>
      <c r="I20" s="78"/>
      <c r="J20" s="51"/>
      <c r="K20" s="51"/>
      <c r="L20" s="51"/>
      <c r="M20" s="51"/>
      <c r="N20" s="51"/>
      <c r="O20" s="51"/>
      <c r="S20" s="131"/>
      <c r="T20" s="262" t="s">
        <v>118</v>
      </c>
      <c r="U20" s="249"/>
      <c r="V20" s="249"/>
      <c r="W20" s="249"/>
      <c r="X20" s="1"/>
      <c r="Y20" s="29">
        <f>'Mon Entreprise'!I44*(Annexes!O5-1)/360</f>
        <v>0</v>
      </c>
      <c r="Z20" s="29"/>
      <c r="AA20" s="30"/>
      <c r="AB20" s="29">
        <f>IF('Mon Entreprise'!I44*(Annexes!O5-1)/360-'Mon Entreprise'!M52&lt;0,0,'Mon Entreprise'!I44*(Annexes!O5-1)/360-'Mon Entreprise'!M52)</f>
        <v>0</v>
      </c>
      <c r="AC20" s="12"/>
      <c r="AD20" s="21"/>
      <c r="AE20" s="35">
        <f>IFERROR(1-'Mon Entreprise'!M52/('Mon Entreprise'!I44*(Annexes!O5-1)/360),0)</f>
        <v>0</v>
      </c>
      <c r="AF20" s="1"/>
      <c r="AG20" s="1"/>
      <c r="AH20" s="1"/>
    </row>
    <row r="21" spans="2:34" ht="15" hidden="1" customHeight="1">
      <c r="B21" s="51"/>
      <c r="C21" s="78"/>
      <c r="D21" s="78"/>
      <c r="E21" s="141" t="str">
        <f>IF(Annexes!M5=FALSE,"Vous n'avez pas coché la case Fermeture administrative de Septembre à Octobre",IF(Annexes!O5=1,"Vous n'avez pas de jour de fermeture en septembre",""))</f>
        <v>Vous n'avez pas coché la case Fermeture administrative de Septembre à Octobre</v>
      </c>
      <c r="F21" s="122"/>
      <c r="G21" s="122"/>
      <c r="H21" s="122"/>
      <c r="I21" s="122"/>
      <c r="J21" s="75"/>
      <c r="K21" s="75"/>
      <c r="L21" s="75"/>
      <c r="M21" s="51"/>
      <c r="N21" s="51"/>
      <c r="O21" s="51"/>
      <c r="S21" s="131"/>
      <c r="T21" s="262" t="s">
        <v>115</v>
      </c>
      <c r="U21" s="249"/>
      <c r="V21" s="249"/>
      <c r="W21" s="249"/>
      <c r="X21" s="1"/>
      <c r="Y21" s="31" t="str">
        <f>IFERROR(IF(AND('Mon Entreprise'!K8&gt;=Annexes!S16,'Mon Entreprise'!K8&lt;=Annexes!U18),'Mon Entreprise'!I85,IF('Mon Entreprise'!K8&gt;=Annexes!U14,'Mon Entreprise'!I78,"NC")),"NC")</f>
        <v>NC</v>
      </c>
      <c r="Z21" s="31"/>
      <c r="AA21" s="30"/>
      <c r="AB21" s="31" t="str">
        <f>IFERROR(IF(AND('Mon Entreprise'!K8&gt;=Annexes!S16,'Mon Entreprise'!K8&lt;=Annexes!U18),IF('Mon Entreprise'!I85-'Mon Entreprise'!I55&lt;0,0,'Mon Entreprise'!I85-'Mon Entreprise'!I55),IF('Mon Entreprise'!K8&gt;=Annexes!U14,IF('Mon Entreprise'!I78-'Mon Entreprise'!I55&lt;0,0,'Mon Entreprise'!I78-'Mon Entreprise'!I55),"NC")),"NC")</f>
        <v>NC</v>
      </c>
      <c r="AC21" s="144"/>
      <c r="AD21" s="21"/>
      <c r="AE21" s="36" t="str">
        <f>IFERROR(IF(AND('Mon Entreprise'!K8&gt;=Annexes!S16,'Mon Entreprise'!K8&lt;=Annexes!S18),1-'Mon Entreprise'!I55/'Mon Entreprise'!I85,IF('Mon Entreprise'!K8&gt;=Annexes!U14,1-'Mon Entreprise'!I55/'Mon Entreprise'!I78,"NC")),"NC")</f>
        <v>NC</v>
      </c>
      <c r="AF21" s="1"/>
      <c r="AG21" s="1"/>
      <c r="AH21" s="1"/>
    </row>
    <row r="22" spans="2:34" ht="15" hidden="1" customHeight="1">
      <c r="B22" s="51"/>
      <c r="C22" s="78"/>
      <c r="D22" s="78" t="str">
        <f>IFERROR(IF('Mon Entreprise'!K8&gt;=Annexes!U14,"Le CA de référence est celui de la création, soit une perte de "&amp;ROUND(AB21,0)&amp;" €"&amp;" ==&gt; "&amp;ROUND(AE21*100,0)&amp;" %",IF(AB19&gt;=AB20,"Le CA de référence est celui de Septembre 2019, soit une perte de "&amp;ROUND(AB19,0)&amp;" €"&amp;" ==&gt; "&amp;ROUND(AE19*100,0)&amp;" %","Le CA de référence est celui de de l'exercice 2019, soit une perte de "&amp;ROUND(AB20,0)&amp;" €"&amp;" ==&gt; "&amp;ROUND(AE20*100,0)&amp;" %")),"")</f>
        <v>Le CA de référence est celui de Septembre 2019, soit une perte de 0 € ==&gt; 0 %</v>
      </c>
      <c r="E22" s="78"/>
      <c r="F22" s="78"/>
      <c r="G22" s="78"/>
      <c r="H22" s="78"/>
      <c r="I22" s="78"/>
      <c r="J22" s="51"/>
      <c r="K22" s="51"/>
      <c r="L22" s="51"/>
      <c r="M22" s="51"/>
      <c r="N22" s="51"/>
      <c r="O22" s="51"/>
      <c r="S22" s="131"/>
      <c r="T22" s="21"/>
      <c r="U22" s="1"/>
      <c r="V22" s="1"/>
      <c r="W22" s="1"/>
      <c r="X22" s="1"/>
      <c r="Y22" s="1"/>
      <c r="Z22" s="1"/>
      <c r="AA22" s="1"/>
      <c r="AB22" s="1"/>
      <c r="AC22" s="1"/>
      <c r="AD22" s="1"/>
      <c r="AE22" s="20"/>
      <c r="AF22" s="1"/>
      <c r="AG22" s="1"/>
      <c r="AH22" s="1"/>
    </row>
    <row r="23" spans="2:34" ht="15" customHeight="1" thickBot="1">
      <c r="B23" s="51"/>
      <c r="C23" s="51"/>
      <c r="D23" s="51"/>
      <c r="E23" s="51"/>
      <c r="F23" s="51"/>
      <c r="G23" s="51"/>
      <c r="H23" s="51"/>
      <c r="I23" s="51"/>
      <c r="J23" s="51"/>
      <c r="K23" s="51"/>
      <c r="L23" s="51"/>
      <c r="M23" s="51"/>
      <c r="N23" s="51"/>
      <c r="O23" s="51"/>
      <c r="S23" s="131"/>
      <c r="T23" s="21"/>
      <c r="U23" s="1"/>
      <c r="V23" s="1"/>
      <c r="W23" s="1"/>
      <c r="X23" s="1"/>
      <c r="Y23" s="1"/>
      <c r="Z23" s="1"/>
      <c r="AA23" s="1"/>
      <c r="AB23" s="1"/>
      <c r="AC23" s="1"/>
      <c r="AD23" s="1"/>
      <c r="AE23" s="20"/>
      <c r="AF23" s="1"/>
      <c r="AG23" s="1"/>
      <c r="AH23" s="1"/>
    </row>
    <row r="24" spans="2:34">
      <c r="B24" s="51"/>
      <c r="C24" s="51"/>
      <c r="D24" s="292" t="str">
        <f>IFERROR(IF('Mon Entreprise'!K8="","Vous ne pouvez pas bénéficier du fonds de solidarité pour le mois de Septembre 2020",IF(AB24="NON","Vous avez débuté votre activité après le 31 Août 2020, vous ne pouvez donc pas bénéficier de cette aide pour le mois de Septembre",IF(AB26="Non","Vous n'avez pas eu de fermeture administrative en septembre, vous ne pouvez donc pas bénéficier de cette aide pour le mois de Septembre",IF(AB27&gt;Annexes!S7*(Annexes!O5-1),"Dans votre cas, l'aide est Plafonnée sur 333 €/jour, soit "&amp;Annexes!S7*(Annexes!O5-1)&amp;" €, pour le mois de septembre","Vous pouvez bénéficier, au titre de cette aide, d'un montant "&amp;ROUND(IF(AB27&lt;0,0,AB27),0)&amp;" € pour le mois de septembre")))),"Vous n'avez pas indiqué de chiffre d'affaires de référence")</f>
        <v>Vous ne pouvez pas bénéficier du fonds de solidarité pour le mois de Septembre 2020</v>
      </c>
      <c r="E24" s="293"/>
      <c r="F24" s="293"/>
      <c r="G24" s="293"/>
      <c r="H24" s="293"/>
      <c r="I24" s="293"/>
      <c r="J24" s="293"/>
      <c r="K24" s="293"/>
      <c r="L24" s="293"/>
      <c r="M24" s="293"/>
      <c r="N24" s="293"/>
      <c r="O24" s="294"/>
      <c r="S24" s="131"/>
      <c r="T24" s="21"/>
      <c r="U24" s="250" t="s">
        <v>230</v>
      </c>
      <c r="V24" s="250"/>
      <c r="W24" s="250"/>
      <c r="X24" s="250"/>
      <c r="Y24" s="250"/>
      <c r="Z24" s="158"/>
      <c r="AA24" s="21"/>
      <c r="AB24" s="144" t="str">
        <f>IF('Mon Entreprise'!K8&lt;=Annexes!U18,"Oui","Non")</f>
        <v>Oui</v>
      </c>
      <c r="AC24" s="1"/>
      <c r="AD24" s="1"/>
      <c r="AE24" s="20"/>
      <c r="AF24" s="1"/>
      <c r="AG24" s="1"/>
      <c r="AH24" s="1"/>
    </row>
    <row r="25" spans="2:34" ht="15" customHeight="1">
      <c r="B25" s="1"/>
      <c r="C25" s="1"/>
      <c r="D25" s="295"/>
      <c r="E25" s="256"/>
      <c r="F25" s="256"/>
      <c r="G25" s="256"/>
      <c r="H25" s="256"/>
      <c r="I25" s="256"/>
      <c r="J25" s="256"/>
      <c r="K25" s="256"/>
      <c r="L25" s="256"/>
      <c r="M25" s="256"/>
      <c r="N25" s="256"/>
      <c r="O25" s="296"/>
      <c r="P25" s="1"/>
      <c r="Q25" s="1"/>
      <c r="R25" s="1"/>
      <c r="S25" s="131"/>
      <c r="T25" s="21"/>
      <c r="U25" s="249" t="s">
        <v>239</v>
      </c>
      <c r="V25" s="249"/>
      <c r="W25" s="249"/>
      <c r="X25" s="249"/>
      <c r="Y25" s="249"/>
      <c r="Z25" s="144"/>
      <c r="AA25" s="21"/>
      <c r="AB25" s="144">
        <f>IF(Annexes!M5=FALSE,0,IF(Annexes!O5=1,0,Annexes!O5-1))</f>
        <v>0</v>
      </c>
      <c r="AC25" s="1"/>
      <c r="AD25" s="1"/>
      <c r="AE25" s="20"/>
      <c r="AF25" s="1"/>
      <c r="AG25" s="1"/>
      <c r="AH25" s="1"/>
    </row>
    <row r="26" spans="2:34" ht="15" customHeight="1">
      <c r="B26" s="1"/>
      <c r="C26" s="1"/>
      <c r="D26" s="295"/>
      <c r="E26" s="256"/>
      <c r="F26" s="256"/>
      <c r="G26" s="256"/>
      <c r="H26" s="256"/>
      <c r="I26" s="256"/>
      <c r="J26" s="256"/>
      <c r="K26" s="256"/>
      <c r="L26" s="256"/>
      <c r="M26" s="256"/>
      <c r="N26" s="256"/>
      <c r="O26" s="296"/>
      <c r="P26" s="1"/>
      <c r="Q26" s="1"/>
      <c r="R26" s="1"/>
      <c r="S26" s="1"/>
      <c r="T26" s="21"/>
      <c r="U26" s="249" t="s">
        <v>240</v>
      </c>
      <c r="V26" s="249"/>
      <c r="W26" s="249"/>
      <c r="X26" s="249"/>
      <c r="Y26" s="249"/>
      <c r="Z26" s="144"/>
      <c r="AA26" s="21"/>
      <c r="AB26" s="144" t="str">
        <f>IF(Annexes!M5=FALSE,"Non",IF(Annexes!O5=1,"Non","Oui"))</f>
        <v>Non</v>
      </c>
      <c r="AC26" s="1"/>
      <c r="AD26" s="1"/>
      <c r="AE26" s="20"/>
      <c r="AF26" s="1"/>
      <c r="AG26" s="1"/>
      <c r="AH26" s="1"/>
    </row>
    <row r="27" spans="2:34" ht="15" customHeight="1">
      <c r="B27" s="1"/>
      <c r="C27" s="1"/>
      <c r="D27" s="295"/>
      <c r="E27" s="256"/>
      <c r="F27" s="256"/>
      <c r="G27" s="256"/>
      <c r="H27" s="256"/>
      <c r="I27" s="256"/>
      <c r="J27" s="256"/>
      <c r="K27" s="256"/>
      <c r="L27" s="256"/>
      <c r="M27" s="256"/>
      <c r="N27" s="256"/>
      <c r="O27" s="296"/>
      <c r="P27" s="1"/>
      <c r="Q27" s="1"/>
      <c r="R27" s="1"/>
      <c r="S27" s="1"/>
      <c r="T27" s="21"/>
      <c r="U27" s="249" t="s">
        <v>241</v>
      </c>
      <c r="V27" s="249"/>
      <c r="W27" s="249"/>
      <c r="X27" s="249"/>
      <c r="Y27" s="249"/>
      <c r="Z27" s="159"/>
      <c r="AA27" s="21"/>
      <c r="AB27" s="144">
        <f>IF('Mon Entreprise'!K8&gt;=Annexes!U14,AB21,IF(AE19&gt;=AE20,AB19,AB20))</f>
        <v>0</v>
      </c>
      <c r="AC27" s="1"/>
      <c r="AD27" s="1"/>
      <c r="AE27" s="20"/>
      <c r="AF27" s="1"/>
      <c r="AG27" s="1"/>
      <c r="AH27" s="1"/>
    </row>
    <row r="28" spans="2:34" ht="15.75" thickBot="1">
      <c r="B28" s="1"/>
      <c r="C28" s="1"/>
      <c r="D28" s="297"/>
      <c r="E28" s="298"/>
      <c r="F28" s="298"/>
      <c r="G28" s="298"/>
      <c r="H28" s="298"/>
      <c r="I28" s="298"/>
      <c r="J28" s="298"/>
      <c r="K28" s="298"/>
      <c r="L28" s="298"/>
      <c r="M28" s="298"/>
      <c r="N28" s="298"/>
      <c r="O28" s="299"/>
      <c r="P28" s="1"/>
      <c r="Q28" s="1"/>
      <c r="R28" s="1"/>
      <c r="S28" s="1"/>
      <c r="T28" s="21"/>
      <c r="U28" s="1"/>
      <c r="V28" s="1"/>
      <c r="W28" s="1"/>
      <c r="X28" s="1"/>
      <c r="Y28" s="1"/>
      <c r="Z28" s="1"/>
      <c r="AA28" s="1"/>
      <c r="AB28" s="1"/>
      <c r="AC28" s="1"/>
      <c r="AD28" s="1"/>
      <c r="AE28" s="20"/>
      <c r="AF28" s="1"/>
      <c r="AG28" s="1"/>
      <c r="AH28" s="1"/>
    </row>
    <row r="29" spans="2:34">
      <c r="B29" s="1"/>
      <c r="C29" s="1"/>
      <c r="D29" s="73" t="s">
        <v>244</v>
      </c>
      <c r="E29" s="1"/>
      <c r="F29" s="1"/>
      <c r="G29" s="1"/>
      <c r="H29" s="1"/>
      <c r="I29" s="1"/>
      <c r="J29" s="1"/>
      <c r="K29" s="1"/>
      <c r="L29" s="5"/>
      <c r="M29" s="1"/>
      <c r="N29" s="1"/>
      <c r="O29" s="1"/>
      <c r="P29" s="1"/>
      <c r="Q29" s="1"/>
      <c r="R29" s="1"/>
      <c r="S29" s="1"/>
      <c r="T29" s="21"/>
      <c r="U29" s="1"/>
      <c r="V29" s="1"/>
      <c r="W29" s="1"/>
      <c r="X29" s="1"/>
      <c r="Y29" s="1"/>
      <c r="Z29" s="1"/>
      <c r="AA29" s="1"/>
      <c r="AB29" s="1"/>
      <c r="AC29" s="1"/>
      <c r="AD29" s="1"/>
      <c r="AE29" s="20"/>
      <c r="AF29" s="1"/>
      <c r="AG29" s="1"/>
      <c r="AH29" s="1"/>
    </row>
    <row r="30" spans="2:34">
      <c r="B30" s="14"/>
      <c r="C30" s="14"/>
      <c r="D30" s="14"/>
      <c r="K30" s="8"/>
      <c r="O30" s="1"/>
      <c r="P30" s="12"/>
      <c r="Q30" s="12"/>
      <c r="R30" s="12"/>
      <c r="S30" s="1"/>
      <c r="T30" s="21"/>
      <c r="U30" s="1"/>
      <c r="V30" s="1"/>
      <c r="W30" s="1"/>
      <c r="X30" s="1"/>
      <c r="Y30" s="1"/>
      <c r="Z30" s="1"/>
      <c r="AA30" s="1"/>
      <c r="AB30" s="1"/>
      <c r="AC30" s="1"/>
      <c r="AD30" s="1"/>
      <c r="AE30" s="20"/>
      <c r="AF30" s="1"/>
      <c r="AG30" s="1"/>
      <c r="AH30" s="1"/>
    </row>
    <row r="31" spans="2:34" ht="15" customHeight="1">
      <c r="B31" s="5"/>
      <c r="C31" s="5"/>
      <c r="D31" s="5"/>
      <c r="O31" s="1"/>
      <c r="P31" s="1"/>
      <c r="Q31" s="1"/>
      <c r="R31" s="1"/>
      <c r="S31" s="1"/>
      <c r="T31" s="21"/>
      <c r="U31" s="1"/>
      <c r="V31" s="1"/>
      <c r="W31" s="1"/>
      <c r="X31" s="1"/>
      <c r="Y31" s="1"/>
      <c r="Z31" s="1"/>
      <c r="AA31" s="1"/>
      <c r="AB31" s="1"/>
      <c r="AC31" s="1"/>
      <c r="AD31" s="1"/>
      <c r="AE31" s="20"/>
      <c r="AF31" s="1"/>
      <c r="AG31" s="1"/>
      <c r="AH31" s="1"/>
    </row>
    <row r="32" spans="2:34" ht="16.5" thickBot="1">
      <c r="B32" s="82"/>
      <c r="C32" s="251" t="s">
        <v>125</v>
      </c>
      <c r="D32" s="251"/>
      <c r="E32" s="251"/>
      <c r="F32" s="251"/>
      <c r="G32" s="251"/>
      <c r="H32" s="251"/>
      <c r="I32" s="82"/>
      <c r="J32" s="82"/>
      <c r="K32" s="82"/>
      <c r="L32" s="82"/>
      <c r="M32" s="82"/>
      <c r="N32" s="82"/>
      <c r="O32" s="82"/>
      <c r="Q32" s="121"/>
      <c r="S32" s="1"/>
      <c r="T32" s="22"/>
      <c r="U32" s="17"/>
      <c r="V32" s="17"/>
      <c r="W32" s="17"/>
      <c r="X32" s="17"/>
      <c r="Y32" s="17"/>
      <c r="Z32" s="17"/>
      <c r="AA32" s="17"/>
      <c r="AB32" s="17"/>
      <c r="AC32" s="17"/>
      <c r="AD32" s="17"/>
      <c r="AE32" s="4"/>
      <c r="AF32" s="1"/>
      <c r="AG32" s="1"/>
      <c r="AH32" s="1"/>
    </row>
    <row r="33" spans="2:34">
      <c r="B33" s="55"/>
      <c r="C33" s="51"/>
      <c r="D33" s="51"/>
      <c r="E33" s="51"/>
      <c r="F33" s="51"/>
      <c r="G33" s="51"/>
      <c r="H33" s="136"/>
      <c r="I33" s="55"/>
      <c r="J33" s="55"/>
      <c r="K33" s="55"/>
      <c r="L33" s="55"/>
      <c r="M33" s="55"/>
      <c r="N33" s="55"/>
      <c r="O33" s="55"/>
      <c r="P33" s="1"/>
      <c r="Q33" s="1"/>
      <c r="R33" s="1"/>
      <c r="S33" s="1"/>
      <c r="T33" s="23"/>
      <c r="U33" s="18"/>
      <c r="V33" s="18"/>
      <c r="W33" s="18"/>
      <c r="X33" s="18"/>
      <c r="Y33" s="18"/>
      <c r="Z33" s="18"/>
      <c r="AA33" s="18"/>
      <c r="AB33" s="18"/>
      <c r="AC33" s="18"/>
      <c r="AD33" s="18"/>
      <c r="AE33" s="19"/>
      <c r="AF33" s="1"/>
      <c r="AG33" s="1"/>
      <c r="AH33" s="1"/>
    </row>
    <row r="34" spans="2:34" hidden="1">
      <c r="B34" s="51"/>
      <c r="C34" s="78" t="s">
        <v>119</v>
      </c>
      <c r="D34" s="51"/>
      <c r="E34" s="51"/>
      <c r="F34" s="51"/>
      <c r="G34" s="51"/>
      <c r="H34" s="51"/>
      <c r="I34" s="51"/>
      <c r="J34" s="51"/>
      <c r="K34" s="51"/>
      <c r="L34" s="51"/>
      <c r="M34" s="51"/>
      <c r="N34" s="51"/>
      <c r="O34" s="51"/>
      <c r="T34" s="33"/>
      <c r="U34" s="1"/>
      <c r="V34" s="1"/>
      <c r="W34" s="1"/>
      <c r="X34" s="1"/>
      <c r="Y34" s="1"/>
      <c r="Z34" s="1"/>
      <c r="AA34" s="1"/>
      <c r="AB34" s="1"/>
      <c r="AC34" s="1"/>
      <c r="AD34" s="1"/>
      <c r="AE34" s="20"/>
    </row>
    <row r="35" spans="2:34" hidden="1">
      <c r="B35" s="51"/>
      <c r="C35" s="78"/>
      <c r="D35" s="148" t="s">
        <v>120</v>
      </c>
      <c r="E35" s="51"/>
      <c r="F35" s="51"/>
      <c r="G35" s="51"/>
      <c r="H35" s="51"/>
      <c r="I35" s="51"/>
      <c r="J35" s="51"/>
      <c r="K35" s="51"/>
      <c r="L35" s="51"/>
      <c r="M35" s="51"/>
      <c r="N35" s="51"/>
      <c r="O35" s="51"/>
      <c r="T35" s="33"/>
      <c r="U35" s="274" t="s">
        <v>113</v>
      </c>
      <c r="V35" s="274"/>
      <c r="W35" s="274"/>
      <c r="X35" s="1"/>
      <c r="Y35" s="143" t="s">
        <v>97</v>
      </c>
      <c r="Z35" s="143"/>
      <c r="AA35" s="143"/>
      <c r="AB35" s="143" t="s">
        <v>116</v>
      </c>
      <c r="AC35" s="143"/>
      <c r="AD35" s="143"/>
      <c r="AE35" s="34" t="s">
        <v>117</v>
      </c>
    </row>
    <row r="36" spans="2:34" ht="15.75" thickBot="1">
      <c r="B36" s="51"/>
      <c r="C36" s="78"/>
      <c r="D36" s="51"/>
      <c r="E36" s="51"/>
      <c r="F36" s="51"/>
      <c r="G36" s="51"/>
      <c r="H36" s="51"/>
      <c r="I36" s="51"/>
      <c r="J36" s="51"/>
      <c r="K36" s="51"/>
      <c r="L36" s="51"/>
      <c r="M36" s="51"/>
      <c r="N36" s="51"/>
      <c r="O36" s="51"/>
      <c r="T36" s="33"/>
      <c r="U36" s="143"/>
      <c r="V36" s="143"/>
      <c r="W36" s="143"/>
      <c r="X36" s="1"/>
      <c r="Y36" s="143"/>
      <c r="Z36" s="143"/>
      <c r="AA36" s="143"/>
      <c r="AB36" s="143"/>
      <c r="AC36" s="143"/>
      <c r="AD36" s="143"/>
      <c r="AE36" s="34"/>
    </row>
    <row r="37" spans="2:34">
      <c r="B37" s="51"/>
      <c r="C37" s="51"/>
      <c r="D37" s="292" t="str">
        <f>IFERROR(IF(AND(AB55=0,AB56=0,AB57=0),"Vous ne pouvez pas bénéficier du fonds de solidarité pour le mois d'Octobre 2020",IF(AND(AB55&gt;AB56,AB55&gt;AB57),"Votre entreprise peut bénéficier d'une aide de "&amp;AB55&amp;" €, au titre des entreprises domiciliées dans des zones ayant subi des mesures de couvre-feu avec une perte de CA d'au-moins 50 % du CA en Octobre",IF(AB56&gt;AB57,"Votre entreprise peut bénéficier d'une aide de "&amp;AB56&amp;" €, au titre des entreprises domiciliées hors des zones ayant subi des mesures de couvre-feu avec une perte de CA d'au-moins "&amp;IF(AB47&gt;=0.7,70,50)&amp;" % du CA en Octobre","Votre entreprise peut bénéficier d'une aide de "&amp;AB57&amp;" €, au titre d'une fermeture Administrative au mois d'octobre"))),"Vous n'avez pas indiqué de chiffre d'affaires de référence")</f>
        <v>Vous ne pouvez pas bénéficier du fonds de solidarité pour le mois d'Octobre 2020</v>
      </c>
      <c r="E37" s="293"/>
      <c r="F37" s="293"/>
      <c r="G37" s="293"/>
      <c r="H37" s="293"/>
      <c r="I37" s="293"/>
      <c r="J37" s="293"/>
      <c r="K37" s="293"/>
      <c r="L37" s="293"/>
      <c r="M37" s="293"/>
      <c r="N37" s="293"/>
      <c r="O37" s="294"/>
      <c r="T37" s="262" t="s">
        <v>121</v>
      </c>
      <c r="U37" s="249"/>
      <c r="V37" s="249"/>
      <c r="W37" s="249"/>
      <c r="X37" s="1"/>
      <c r="Y37" s="12">
        <f>'Mon Entreprise'!I58</f>
        <v>0</v>
      </c>
      <c r="Z37" s="29"/>
      <c r="AA37" s="30"/>
      <c r="AB37" s="12">
        <f>IF('Mon Entreprise'!I58-'Mon Entreprise'!M58&lt;0,0,'Mon Entreprise'!I58-'Mon Entreprise'!M58)</f>
        <v>0</v>
      </c>
      <c r="AC37" s="1"/>
      <c r="AD37" s="21"/>
      <c r="AE37" s="35">
        <f>IFERROR(1-'Mon Entreprise'!M58/'Mon Entreprise'!I58,0)</f>
        <v>0</v>
      </c>
    </row>
    <row r="38" spans="2:34" ht="15" customHeight="1">
      <c r="D38" s="295"/>
      <c r="E38" s="256"/>
      <c r="F38" s="256"/>
      <c r="G38" s="256"/>
      <c r="H38" s="256"/>
      <c r="I38" s="256"/>
      <c r="J38" s="256"/>
      <c r="K38" s="256"/>
      <c r="L38" s="256"/>
      <c r="M38" s="256"/>
      <c r="N38" s="256"/>
      <c r="O38" s="296"/>
      <c r="T38" s="262" t="s">
        <v>118</v>
      </c>
      <c r="U38" s="249"/>
      <c r="V38" s="249"/>
      <c r="W38" s="249"/>
      <c r="X38" s="1"/>
      <c r="Y38" s="12">
        <f>'Mon Entreprise'!I46</f>
        <v>0</v>
      </c>
      <c r="Z38" s="29"/>
      <c r="AA38" s="30"/>
      <c r="AB38" s="12">
        <f>IF('Mon Entreprise'!I46-'Mon Entreprise'!M58&lt;0,0,'Mon Entreprise'!I46-'Mon Entreprise'!M58)</f>
        <v>0</v>
      </c>
      <c r="AC38" s="12"/>
      <c r="AD38" s="21"/>
      <c r="AE38" s="35">
        <f>IFERROR(1-'Mon Entreprise'!M58/'Mon Entreprise'!I46,0)</f>
        <v>0</v>
      </c>
    </row>
    <row r="39" spans="2:34" ht="15" customHeight="1">
      <c r="C39" s="126"/>
      <c r="D39" s="295"/>
      <c r="E39" s="256"/>
      <c r="F39" s="256"/>
      <c r="G39" s="256"/>
      <c r="H39" s="256"/>
      <c r="I39" s="256"/>
      <c r="J39" s="256"/>
      <c r="K39" s="256"/>
      <c r="L39" s="256"/>
      <c r="M39" s="256"/>
      <c r="N39" s="256"/>
      <c r="O39" s="296"/>
      <c r="Q39" s="121"/>
      <c r="R39" s="121"/>
      <c r="S39" s="121"/>
      <c r="T39" s="272" t="s">
        <v>115</v>
      </c>
      <c r="U39" s="273"/>
      <c r="V39" s="273"/>
      <c r="W39" s="273"/>
      <c r="X39" s="168"/>
      <c r="Y39" s="169" t="str">
        <f>IF('Mon Entreprise'!I77="","NC",'Mon Entreprise'!I77)</f>
        <v>NC</v>
      </c>
      <c r="Z39" s="170"/>
      <c r="AA39" s="171"/>
      <c r="AB39" s="172" t="str">
        <f>IFERROR(IF('Mon Entreprise'!I77-'Mon Entreprise'!M58&lt;0,0,'Mon Entreprise'!I77-'Mon Entreprise'!M58),"NC")</f>
        <v>NC</v>
      </c>
      <c r="AC39" s="173"/>
      <c r="AD39" s="174"/>
      <c r="AE39" s="175" t="str">
        <f>IFERROR(1-'Mon Entreprise'!M58/'Mon Entreprise'!I77,"NC")</f>
        <v>NC</v>
      </c>
      <c r="AF39" s="121"/>
    </row>
    <row r="40" spans="2:34" ht="15" customHeight="1">
      <c r="C40" s="126"/>
      <c r="D40" s="295"/>
      <c r="E40" s="256"/>
      <c r="F40" s="256"/>
      <c r="G40" s="256"/>
      <c r="H40" s="256"/>
      <c r="I40" s="256"/>
      <c r="J40" s="256"/>
      <c r="K40" s="256"/>
      <c r="L40" s="256"/>
      <c r="M40" s="256"/>
      <c r="N40" s="256"/>
      <c r="O40" s="296"/>
      <c r="T40" s="21"/>
      <c r="U40" s="1"/>
      <c r="V40" s="1"/>
      <c r="W40" s="1"/>
      <c r="X40" s="1"/>
      <c r="Y40" s="1"/>
      <c r="Z40" s="1"/>
      <c r="AA40" s="1"/>
      <c r="AB40" s="1"/>
      <c r="AC40" s="1"/>
      <c r="AD40" s="1"/>
      <c r="AE40" s="20"/>
    </row>
    <row r="41" spans="2:34" ht="15.75" customHeight="1" thickBot="1">
      <c r="C41" s="126"/>
      <c r="D41" s="297"/>
      <c r="E41" s="298"/>
      <c r="F41" s="298"/>
      <c r="G41" s="298"/>
      <c r="H41" s="298"/>
      <c r="I41" s="298"/>
      <c r="J41" s="298"/>
      <c r="K41" s="298"/>
      <c r="L41" s="298"/>
      <c r="M41" s="298"/>
      <c r="N41" s="298"/>
      <c r="O41" s="299"/>
      <c r="T41" s="275" t="s">
        <v>94</v>
      </c>
      <c r="U41" s="250"/>
      <c r="V41" s="250"/>
      <c r="W41" s="250"/>
      <c r="X41" s="250"/>
      <c r="Y41" s="250"/>
      <c r="Z41" s="153"/>
      <c r="AA41" s="21"/>
      <c r="AB41" s="27">
        <f>IFERROR(IF('Mon Entreprise'!K8&lt;Annexes!U19,IF(1-'Mon Entreprise'!M62/'Mon Entreprise'!I62&gt;=1-'Mon Entreprise'!M62/('Mon Entreprise'!I46*2),1-'Mon Entreprise'!M62/'Mon Entreprise'!I62,1-'Mon Entreprise'!M62/('Mon Entreprise'!I46*2)),1-'Mon Entreprise'!M62/'Mon Entreprise'!I70),0)</f>
        <v>0</v>
      </c>
      <c r="AC41" s="1"/>
      <c r="AD41" s="1"/>
      <c r="AE41" s="20"/>
    </row>
    <row r="42" spans="2:34" ht="18.75" hidden="1" customHeight="1">
      <c r="C42" s="102"/>
      <c r="D42" s="102"/>
      <c r="E42" s="102"/>
      <c r="F42" s="102"/>
      <c r="G42" s="102"/>
      <c r="H42" s="102"/>
      <c r="I42" s="102"/>
      <c r="J42" s="102"/>
      <c r="K42" s="102"/>
      <c r="L42" s="102"/>
      <c r="M42" s="102"/>
      <c r="N42" s="102"/>
      <c r="O42" s="102"/>
      <c r="T42" s="21"/>
      <c r="U42" s="250" t="s">
        <v>99</v>
      </c>
      <c r="V42" s="250"/>
      <c r="W42" s="250"/>
      <c r="X42" s="250"/>
      <c r="Y42" s="250"/>
      <c r="Z42" s="153"/>
      <c r="AA42" s="21"/>
      <c r="AB42" s="144" t="str">
        <f>IF((AND(Annexes!F5&gt;1,Annexes!F5&lt;61)),"OUI","NON")</f>
        <v>NON</v>
      </c>
      <c r="AC42" s="1"/>
      <c r="AD42" s="1"/>
      <c r="AE42" s="20"/>
    </row>
    <row r="43" spans="2:34" ht="15" hidden="1" customHeight="1">
      <c r="T43" s="21"/>
      <c r="U43" s="302" t="s">
        <v>100</v>
      </c>
      <c r="V43" s="302"/>
      <c r="W43" s="302"/>
      <c r="X43" s="302"/>
      <c r="Y43" s="302"/>
      <c r="Z43" s="154"/>
      <c r="AA43" s="21"/>
      <c r="AB43" s="144" t="str">
        <f>IF((AND(Annexes!F7&gt;1,Annexes!F7&lt;87)),"OUI","NON")</f>
        <v>NON</v>
      </c>
      <c r="AC43" s="1"/>
      <c r="AD43" s="1"/>
      <c r="AE43" s="20"/>
    </row>
    <row r="44" spans="2:34" ht="15" hidden="1" customHeight="1">
      <c r="C44" s="300" t="s">
        <v>228</v>
      </c>
      <c r="D44" s="300"/>
      <c r="E44" s="300"/>
      <c r="F44" s="300"/>
      <c r="G44" s="300"/>
      <c r="H44" s="300"/>
      <c r="I44" s="300"/>
      <c r="J44" s="300"/>
      <c r="K44" s="300"/>
      <c r="L44" s="300"/>
      <c r="M44" s="300"/>
      <c r="N44" s="300"/>
      <c r="O44" s="300"/>
      <c r="T44" s="21"/>
      <c r="U44" s="250" t="s">
        <v>229</v>
      </c>
      <c r="V44" s="250"/>
      <c r="W44" s="250"/>
      <c r="X44" s="250"/>
      <c r="Y44" s="250"/>
      <c r="Z44" s="153"/>
      <c r="AA44" s="21"/>
      <c r="AB44" s="144">
        <f>IF(AB42="OUI",Annexes!S6,IF(AND(AB43="OUI",AB41&gt;=0.8),Annexes!S6,Annexes!S5))</f>
        <v>1500</v>
      </c>
      <c r="AC44" s="1"/>
      <c r="AD44" s="1"/>
      <c r="AE44" s="20"/>
    </row>
    <row r="45" spans="2:34" ht="15" hidden="1" customHeight="1">
      <c r="C45" s="300"/>
      <c r="D45" s="300"/>
      <c r="E45" s="300"/>
      <c r="F45" s="300"/>
      <c r="G45" s="300"/>
      <c r="H45" s="300"/>
      <c r="I45" s="300"/>
      <c r="J45" s="300"/>
      <c r="K45" s="300"/>
      <c r="L45" s="300"/>
      <c r="M45" s="300"/>
      <c r="N45" s="300"/>
      <c r="O45" s="300"/>
      <c r="T45" s="21"/>
      <c r="U45" s="250" t="s">
        <v>230</v>
      </c>
      <c r="V45" s="250"/>
      <c r="W45" s="250"/>
      <c r="X45" s="250"/>
      <c r="Y45" s="250"/>
      <c r="Z45" s="153"/>
      <c r="AA45" s="21"/>
      <c r="AB45" s="144" t="str">
        <f>IF('Mon Entreprise'!K8&lt;=Annexes!S18,"Oui","Non")</f>
        <v>Oui</v>
      </c>
      <c r="AC45" s="1"/>
      <c r="AD45" s="1"/>
      <c r="AE45" s="20"/>
    </row>
    <row r="46" spans="2:34" ht="15" hidden="1" customHeight="1">
      <c r="C46" s="76"/>
      <c r="D46" s="148" t="str">
        <f>IF(Annexes!M9=FALSE,"- L'entreprise ne semble pas avoir été impactée par le couvre-Feu de 21H à 6H","- L'entreprise a été impactée par le couvre-Feu de 21H à 6H")</f>
        <v>- L'entreprise ne semble pas avoir été impactée par le couvre-Feu de 21H à 6H</v>
      </c>
      <c r="E46" s="77"/>
      <c r="F46" s="77"/>
      <c r="G46" s="77"/>
      <c r="H46" s="77"/>
      <c r="I46" s="77"/>
      <c r="J46" s="77"/>
      <c r="K46" s="77"/>
      <c r="L46" s="77"/>
      <c r="M46" s="148"/>
      <c r="N46" s="148"/>
      <c r="O46" s="148"/>
      <c r="T46" s="21"/>
      <c r="U46" s="250" t="s">
        <v>246</v>
      </c>
      <c r="V46" s="250"/>
      <c r="W46" s="250"/>
      <c r="X46" s="250"/>
      <c r="Y46" s="250"/>
      <c r="Z46" s="153"/>
      <c r="AA46" s="21"/>
      <c r="AB46" s="1">
        <f>IF('Mon Entreprise'!K8&gt;=Annexes!U14,AB39,IF(AB37&gt;=AB38,AB37,AB38))</f>
        <v>0</v>
      </c>
      <c r="AC46" s="1"/>
      <c r="AD46" s="1"/>
      <c r="AE46" s="20"/>
    </row>
    <row r="47" spans="2:34" ht="15" hidden="1" customHeight="1">
      <c r="C47" s="76"/>
      <c r="D47" s="301" t="str">
        <f>IF(AB42="OUI","- L'entreprise est mentionnée en annexe 1 (S1) du décret 2020-1328, et peut bénéficier à ce titre d'une aide plafonné à 10 000 €",IF(AND(AB43="OUI",AB41&gt;=0.8),"- L'entreprise est mentionnée en annexe 2 (S1 bis) du décret 2020-1328 ayant subi une perte de CA d'au moins 80 % entre le 15/03/2020 et le 15/05/2020, l'entreprise peut bénéficier à ce titre d'une aide plafonné à 10 000 €","- L'entreprise n'est pas mentionnée en annexe 1 (S1) ou en annexe 2 (S1 bis) du décret 2020-1328 et ayant subi une perte de CA d'au moins 80 % entre le 15/03/2020 et le 15/05/2020, l'entreprise peut donc bénéficier d'une aide plafonné à 1 500 €"))</f>
        <v>- L'entreprise n'est pas mentionnée en annexe 1 (S1) ou en annexe 2 (S1 bis) du décret 2020-1328 et ayant subi une perte de CA d'au moins 80 % entre le 15/03/2020 et le 15/05/2020, l'entreprise peut donc bénéficier d'une aide plafonné à 1 500 €</v>
      </c>
      <c r="E47" s="301"/>
      <c r="F47" s="301"/>
      <c r="G47" s="301"/>
      <c r="H47" s="301"/>
      <c r="I47" s="301"/>
      <c r="J47" s="301"/>
      <c r="K47" s="301"/>
      <c r="L47" s="301"/>
      <c r="M47" s="301"/>
      <c r="N47" s="301"/>
      <c r="O47" s="301"/>
      <c r="T47" s="21"/>
      <c r="U47" s="250" t="s">
        <v>247</v>
      </c>
      <c r="V47" s="250"/>
      <c r="W47" s="250"/>
      <c r="X47" s="250"/>
      <c r="Y47" s="250"/>
      <c r="Z47" s="153"/>
      <c r="AA47" s="21"/>
      <c r="AB47" s="13">
        <f>IF('Mon Entreprise'!K8&gt;=Annexes!U14,AE39,IF(AB37&gt;=AB38,AE37,AE38))</f>
        <v>0</v>
      </c>
      <c r="AC47" s="1"/>
      <c r="AD47" s="1"/>
      <c r="AE47" s="20"/>
    </row>
    <row r="48" spans="2:34" ht="15" hidden="1" customHeight="1">
      <c r="C48" s="76"/>
      <c r="D48" s="301"/>
      <c r="E48" s="301"/>
      <c r="F48" s="301"/>
      <c r="G48" s="301"/>
      <c r="H48" s="301"/>
      <c r="I48" s="301"/>
      <c r="J48" s="301"/>
      <c r="K48" s="301"/>
      <c r="L48" s="301"/>
      <c r="M48" s="301"/>
      <c r="N48" s="301"/>
      <c r="O48" s="301"/>
      <c r="T48" s="21"/>
      <c r="U48" s="250" t="s">
        <v>231</v>
      </c>
      <c r="V48" s="250"/>
      <c r="W48" s="250"/>
      <c r="X48" s="250"/>
      <c r="Y48" s="250"/>
      <c r="Z48" s="153"/>
      <c r="AA48" s="21"/>
      <c r="AB48" s="1">
        <f>IF(AB47&gt;=0.7,IF(AB42="OUI",Annexes!S6,IF(AND(AB43="OUI",AB41&gt;=0.8),Annexes!S6,0)),IF(AB47&gt;=0.5,IF(AB42="OUI",Annexes!S5,IF(AND(AB43="OUI",AB41&gt;=0.8),Annexes!S5,0)),0))</f>
        <v>0</v>
      </c>
      <c r="AC48" s="1"/>
      <c r="AD48" s="1"/>
      <c r="AE48" s="20"/>
    </row>
    <row r="49" spans="3:31" ht="15" hidden="1" customHeight="1">
      <c r="C49" s="76"/>
      <c r="D49" s="148" t="str">
        <f>IFERROR(IF('Mon Entreprise'!K8&gt;=Annexes!U14,"- Le CA de référence est celui de la création, soit une perte de "&amp;ROUND(AB39,0)&amp;" €"&amp;" ==&gt; "&amp;ROUND(AE39*100,0)&amp;" %",IF(AE37&gt;=AE38,"- Le CA de référence est celui de Octobre 2019, soit une perte de "&amp;ROUND(AB37,0)&amp;" €"&amp;" ==&gt; "&amp;ROUND(AE37*100,0)&amp;" %","- Le CA de référence est celui de de l'exercice 2019, soit une perte de "&amp;ROUND(AB38,0)&amp;" €"&amp;" ==&gt; "&amp;ROUND(AE38*100,0)&amp;" %")),"")</f>
        <v>- Le CA de référence est celui de Octobre 2019, soit une perte de 0 € ==&gt; 0 %</v>
      </c>
      <c r="E49" s="148"/>
      <c r="F49" s="148"/>
      <c r="G49" s="148"/>
      <c r="H49" s="148"/>
      <c r="I49" s="148"/>
      <c r="J49" s="148"/>
      <c r="K49" s="148"/>
      <c r="L49" s="148"/>
      <c r="M49" s="148"/>
      <c r="N49" s="148"/>
      <c r="O49" s="148"/>
      <c r="T49" s="21"/>
      <c r="U49" s="250" t="s">
        <v>232</v>
      </c>
      <c r="V49" s="250"/>
      <c r="W49" s="250"/>
      <c r="X49" s="250"/>
      <c r="Y49" s="250"/>
      <c r="Z49" s="153"/>
      <c r="AA49" s="21"/>
      <c r="AB49" s="1">
        <f>IF(AB47&gt;=0.7,IF(AB42="OUI",Annexes!T6,IF(AND(AB43="OUI",AB41&gt;=0.8),Annexes!T6,1)),1)</f>
        <v>1</v>
      </c>
      <c r="AC49" s="1"/>
      <c r="AD49" s="1"/>
      <c r="AE49" s="20"/>
    </row>
    <row r="50" spans="3:31" ht="15" hidden="1" customHeight="1" thickBot="1">
      <c r="C50" s="76"/>
      <c r="D50" s="76"/>
      <c r="E50" s="76"/>
      <c r="F50" s="76"/>
      <c r="G50" s="76"/>
      <c r="H50" s="76"/>
      <c r="I50" s="76"/>
      <c r="J50" s="76"/>
      <c r="K50" s="76"/>
      <c r="L50" s="76"/>
      <c r="M50" s="76"/>
      <c r="N50" s="76"/>
      <c r="O50" s="76"/>
      <c r="T50" s="21"/>
      <c r="U50" s="249" t="s">
        <v>241</v>
      </c>
      <c r="V50" s="249"/>
      <c r="W50" s="249"/>
      <c r="X50" s="249"/>
      <c r="Y50" s="249"/>
      <c r="Z50" s="1"/>
      <c r="AA50" s="21"/>
      <c r="AB50" s="1">
        <f>IF('Mon Entreprise'!K8&gt;=Annexes!U14,Y39,IF(AB37&gt;=AB38,Y37,Y38))</f>
        <v>0</v>
      </c>
      <c r="AC50" s="1"/>
      <c r="AD50" s="1"/>
      <c r="AE50" s="20"/>
    </row>
    <row r="51" spans="3:31" ht="15.75" hidden="1" customHeight="1">
      <c r="D51" s="276" t="str">
        <f>IFERROR(IF(AB45="Non","Vous avez débuté votre activité après le 30 Septembre 2020, vous ne pouvez donc pas bénéficier de cette aide",IF(Annexes!M9=FALSE,"L'entreprise ne semble pas avoir été impactée par le couvre-Feu de 21H à 6H",IF(AB47&gt;=0.5,IF(AB44=Annexes!S6,IF(AB46&gt;=Annexes!S6,"Dans votre cas, l'aide est Plafonnée, à "&amp;Annexes!S6&amp;" € pour le mois d'octobre",IF(AB46=0,"Vous n'avez pas indiqué de CA de référence","Vous pouvez bénéficier, au titre de cette aide, d'un montant "&amp;ROUND(AB46,0)&amp;" € pour le mois d'octobre")),IF(AB44=Annexes!S5,IF(AB46&gt;Annexes!S5,"Dans votre cas, l'aide est Plafonnée, à "&amp;Annexes!S5&amp;" € pour le mois d'octobre",IF(AB46=0,"Vous n'avez pas indiqué de CA de référence","Vous pouvez bénéficier, au titre de cette aide, d'un montant "&amp;ROUND(AB46,0)&amp;" € pour le mois d'octobre.")),)),"L'entreprise n'a pas subi de perte d'au-moins 50 % sur son CA d'Octobre 2020"))),"Vous n'avez pas indiqué de chiffre d'affaires de référence")</f>
        <v>L'entreprise ne semble pas avoir été impactée par le couvre-Feu de 21H à 6H</v>
      </c>
      <c r="E51" s="277"/>
      <c r="F51" s="277"/>
      <c r="G51" s="277"/>
      <c r="H51" s="277"/>
      <c r="I51" s="277"/>
      <c r="J51" s="277"/>
      <c r="K51" s="277"/>
      <c r="L51" s="277"/>
      <c r="M51" s="277"/>
      <c r="N51" s="277"/>
      <c r="O51" s="278"/>
      <c r="T51" s="21"/>
      <c r="U51" s="249" t="s">
        <v>249</v>
      </c>
      <c r="V51" s="249"/>
      <c r="W51" s="249"/>
      <c r="X51" s="249"/>
      <c r="Y51" s="249"/>
      <c r="Z51" s="1"/>
      <c r="AA51" s="21"/>
      <c r="AB51" s="1">
        <f>IF(AB46&gt;AB50*AB49,IF(AND(AB46&gt;1500,1500&gt;AB50*AB49),1500,IF(1500&gt;AB46,AB46,AB50*AB49)),AB46)</f>
        <v>0</v>
      </c>
      <c r="AC51" s="1"/>
      <c r="AD51" s="1"/>
      <c r="AE51" s="20"/>
    </row>
    <row r="52" spans="3:31" ht="15" hidden="1" customHeight="1">
      <c r="D52" s="279"/>
      <c r="E52" s="280"/>
      <c r="F52" s="280"/>
      <c r="G52" s="280"/>
      <c r="H52" s="280"/>
      <c r="I52" s="280"/>
      <c r="J52" s="280"/>
      <c r="K52" s="280"/>
      <c r="L52" s="280"/>
      <c r="M52" s="280"/>
      <c r="N52" s="280"/>
      <c r="O52" s="281"/>
      <c r="T52" s="21"/>
      <c r="U52" s="1"/>
      <c r="V52" s="1"/>
      <c r="W52" s="1"/>
      <c r="X52" s="1"/>
      <c r="Y52" s="1"/>
      <c r="Z52" s="1"/>
      <c r="AA52" s="1"/>
      <c r="AB52" s="1"/>
      <c r="AC52" s="1"/>
      <c r="AD52" s="1"/>
      <c r="AE52" s="20"/>
    </row>
    <row r="53" spans="3:31" ht="15" hidden="1" customHeight="1">
      <c r="D53" s="279"/>
      <c r="E53" s="280"/>
      <c r="F53" s="280"/>
      <c r="G53" s="280"/>
      <c r="H53" s="280"/>
      <c r="I53" s="280"/>
      <c r="J53" s="280"/>
      <c r="K53" s="280"/>
      <c r="L53" s="280"/>
      <c r="M53" s="280"/>
      <c r="N53" s="280"/>
      <c r="O53" s="281"/>
      <c r="T53" s="21"/>
      <c r="U53" s="1"/>
      <c r="V53" s="1"/>
      <c r="W53" s="1"/>
      <c r="X53" s="1"/>
      <c r="Y53" s="1"/>
      <c r="Z53" s="1"/>
      <c r="AA53" s="1"/>
      <c r="AB53" s="1"/>
      <c r="AC53" s="1"/>
      <c r="AD53" s="1"/>
      <c r="AE53" s="20"/>
    </row>
    <row r="54" spans="3:31" ht="15" hidden="1" customHeight="1" thickBot="1">
      <c r="D54" s="282"/>
      <c r="E54" s="283"/>
      <c r="F54" s="283"/>
      <c r="G54" s="283"/>
      <c r="H54" s="283"/>
      <c r="I54" s="283"/>
      <c r="J54" s="283"/>
      <c r="K54" s="283"/>
      <c r="L54" s="283"/>
      <c r="M54" s="283"/>
      <c r="N54" s="283"/>
      <c r="O54" s="284"/>
      <c r="T54" s="21"/>
      <c r="U54" s="1"/>
      <c r="V54" s="1"/>
      <c r="W54" s="1"/>
      <c r="X54" s="1"/>
      <c r="Y54" s="1"/>
      <c r="Z54" s="1"/>
      <c r="AA54" s="1"/>
      <c r="AB54" s="1"/>
      <c r="AC54" s="1"/>
      <c r="AD54" s="1"/>
      <c r="AE54" s="20"/>
    </row>
    <row r="55" spans="3:31" ht="15.75" hidden="1" customHeight="1">
      <c r="T55" s="21"/>
      <c r="U55" s="249" t="s">
        <v>235</v>
      </c>
      <c r="V55" s="249"/>
      <c r="W55" s="249"/>
      <c r="X55" s="249"/>
      <c r="Y55" s="249"/>
      <c r="Z55" s="1"/>
      <c r="AA55" s="21"/>
      <c r="AB55" s="1">
        <f>IFERROR(IF(AB45="Non",0,IF(Annexes!M9=FALSE,0,IF(AB47&gt;=0.5,IF(AB44=Annexes!S6,IF(AB46&gt;=Annexes!S6,Annexes!S6,IF(AB46=0,0,ROUND(AB46,0))),IF(AB44=Annexes!S5,IF(AB46&gt;Annexes!S5,Annexes!S5,IF(AB46=0,0,ROUND(AB46,0))),)),0))),0)</f>
        <v>0</v>
      </c>
      <c r="AC55" s="1"/>
      <c r="AD55" s="1"/>
      <c r="AE55" s="20"/>
    </row>
    <row r="56" spans="3:31" ht="15" hidden="1" customHeight="1">
      <c r="C56" s="100"/>
      <c r="D56" s="100"/>
      <c r="E56" s="100"/>
      <c r="F56" s="100"/>
      <c r="G56" s="100"/>
      <c r="H56" s="100"/>
      <c r="I56" s="100"/>
      <c r="J56" s="100"/>
      <c r="K56" s="100"/>
      <c r="L56" s="100"/>
      <c r="M56" s="100"/>
      <c r="N56" s="100"/>
      <c r="O56" s="100"/>
      <c r="T56" s="21"/>
      <c r="U56" s="249" t="s">
        <v>236</v>
      </c>
      <c r="V56" s="249"/>
      <c r="W56" s="249"/>
      <c r="X56" s="249"/>
      <c r="Y56" s="249"/>
      <c r="Z56" s="1"/>
      <c r="AA56" s="21"/>
      <c r="AB56" s="1">
        <f>IFERROR(IF(AB45="Non",0,IF(AB47&gt;=0.7,IF(AB42="OUI",IF(AB51&gt;=Annexes!S6,Annexes!S6,ROUND(AB51,0)),IF(AND(AB43="OUI",AB41&gt;=0.8),IF(AB51&gt;=Annexes!S6,Annexes!S6,ROUND(AB51,0)),0)),IF(AB47&gt;=0.5,IF(AB42="OUI",IF(AB46&gt;=Annexes!S5,Annexes!S5,ROUND(AB46,0)),IF(AND(AB43="OUI",AB41&gt;=0.8),IF(AB46&gt;=Annexes!S5,Annexes!S5,ROUND(AB46,0)),0)),0))),0)</f>
        <v>0</v>
      </c>
      <c r="AC56" s="1"/>
      <c r="AD56" s="1"/>
      <c r="AE56" s="20"/>
    </row>
    <row r="57" spans="3:31" ht="15" hidden="1" customHeight="1">
      <c r="T57" s="21"/>
      <c r="U57" s="249" t="s">
        <v>237</v>
      </c>
      <c r="V57" s="249"/>
      <c r="W57" s="249"/>
      <c r="X57" s="249"/>
      <c r="Y57" s="249"/>
      <c r="Z57" s="1"/>
      <c r="AA57" s="21"/>
      <c r="AB57" s="1">
        <f>IFERROR(IF(AB81="NON",0,IF(AB83="Non",0,IF(AB84&gt;Annexes!S7*(Annexes!Q5-1),IF(Annexes!S7*(Annexes!Q5-1)&gt;10000,10000,Annexes!S7*(Annexes!Q5-1)),ROUND(IF(AB84&gt;10000,10000,AB84),0)))),0)</f>
        <v>0</v>
      </c>
      <c r="AC57" s="1"/>
      <c r="AD57" s="1"/>
      <c r="AE57" s="20"/>
    </row>
    <row r="58" spans="3:31" ht="15" hidden="1" customHeight="1">
      <c r="C58" s="285" t="s">
        <v>238</v>
      </c>
      <c r="D58" s="285"/>
      <c r="E58" s="285"/>
      <c r="F58" s="285"/>
      <c r="G58" s="285"/>
      <c r="H58" s="285"/>
      <c r="I58" s="285"/>
      <c r="J58" s="285"/>
      <c r="K58" s="285"/>
      <c r="L58" s="285"/>
      <c r="M58" s="285"/>
      <c r="N58" s="285"/>
      <c r="O58" s="285"/>
      <c r="P58" s="51"/>
      <c r="T58" s="21"/>
      <c r="U58" s="1"/>
      <c r="V58" s="1"/>
      <c r="W58" s="1"/>
      <c r="X58" s="1"/>
      <c r="Y58" s="1"/>
      <c r="Z58" s="1"/>
      <c r="AA58" s="1"/>
      <c r="AB58" s="1"/>
      <c r="AC58" s="1"/>
      <c r="AD58" s="1"/>
      <c r="AE58" s="20"/>
    </row>
    <row r="59" spans="3:31" ht="15" hidden="1" customHeight="1">
      <c r="C59" s="285"/>
      <c r="D59" s="285"/>
      <c r="E59" s="285"/>
      <c r="F59" s="285"/>
      <c r="G59" s="285"/>
      <c r="H59" s="285"/>
      <c r="I59" s="285"/>
      <c r="J59" s="285"/>
      <c r="K59" s="285"/>
      <c r="L59" s="285"/>
      <c r="M59" s="285"/>
      <c r="N59" s="285"/>
      <c r="O59" s="285"/>
      <c r="P59" s="51"/>
      <c r="T59" s="21"/>
      <c r="U59" s="1"/>
      <c r="V59" s="1"/>
      <c r="W59" s="1"/>
      <c r="X59" s="1"/>
      <c r="Y59" s="1"/>
      <c r="Z59" s="1"/>
      <c r="AA59" s="1"/>
      <c r="AB59" s="1"/>
      <c r="AC59" s="1"/>
      <c r="AD59" s="1"/>
      <c r="AE59" s="20"/>
    </row>
    <row r="60" spans="3:31" ht="15" hidden="1" customHeight="1">
      <c r="C60" s="78"/>
      <c r="D60" s="286" t="str">
        <f>IF(AB47&gt;=0.7,IF(AB42="OUI","- L'entreprise a subi une perte d'au-moins 70 % en Octobre 2020 et est mentionnée en annexe 1 (S1) du décret 2020-1328, l'entreprise peut bénéficier à ce titre d'une aide plafonné à 10 000 €",IF(AND(AB43="OUI",AB41&gt;=0.8),"- L'entreprise a subi une perte d'au-moins 70 % en Octobre 2020 et est mentionnée en annexe 2 (S1 bis) du"&amp;" décret 2020-1328 ayant aussi eu une perte de CA d'au moins 80 % entre le 15/03/2020 et le 15/05/2020, l'entreprise peut bénéficier à ce titre d'une aide plafonné à 10 000 €","- L'entreprise n'est pas mentionnée en annexe 1 (S1) ou en annexe 2 (S1 bis) du décret 2020-1328 et ayant subi une perte de CA d'au moins 80 % entre le 15/03/2020 et le 15/05/2020, l'entreprise ne peut donc pas bénéficier de cette aide")),IF(AB47&gt;=0.5,IF(AB42="OUI","- L'entreprise a subi une perte d'au-moins 50 % en Octobre 2020 et est mentionnée en annexe 1 (S1) du décret 2020-1328, l'entreprise peut bénéficier à ce titre d'une aide plafonné à 1 500 €",IF(AND(AB43="OUI",AB41&gt;=0.8),"- L'entreprise a subi une perte d'au-moins 50 % en Octobre 2020 et est mentionnée en annexe 2 (S1 bis) du décret 2020-1328 ayant aussi eu une perte de CA d'au moins 80 % entre le 15/03/2020 et le 15/05/2020,"&amp;" l'entreprise peut bénéficier à ce titre d'une aide plafonné à 1 500 €","- L'entreprise n'est pas mentionnée en annexe 1 (S1) ou en annexe 2 (S1 bis) du décret 2020-1328 et ayant subi une perte de CA d'au moins 80 % entre le 15/03/2020 et le 15/05/2020, l'entreprise ne peut donc pas bénéficier de cette aide")),"- L'entreprise n'a pas subi de perte d'au-moins 50 % sur son CA d'Octobre 2020"))</f>
        <v>- L'entreprise n'a pas subi de perte d'au-moins 50 % sur son CA d'Octobre 2020</v>
      </c>
      <c r="E60" s="286"/>
      <c r="F60" s="286"/>
      <c r="G60" s="286"/>
      <c r="H60" s="286"/>
      <c r="I60" s="286"/>
      <c r="J60" s="286"/>
      <c r="K60" s="286"/>
      <c r="L60" s="286"/>
      <c r="M60" s="286"/>
      <c r="N60" s="286"/>
      <c r="O60" s="286"/>
      <c r="P60" s="51"/>
      <c r="T60" s="21"/>
      <c r="U60" s="1"/>
      <c r="V60" s="1"/>
      <c r="W60" s="1"/>
      <c r="X60" s="1"/>
      <c r="Y60" s="1"/>
      <c r="Z60" s="1"/>
      <c r="AA60" s="1"/>
      <c r="AB60" s="1"/>
      <c r="AC60" s="1"/>
      <c r="AD60" s="1"/>
      <c r="AE60" s="20"/>
    </row>
    <row r="61" spans="3:31" ht="15" hidden="1" customHeight="1">
      <c r="C61" s="78"/>
      <c r="D61" s="286"/>
      <c r="E61" s="286"/>
      <c r="F61" s="286"/>
      <c r="G61" s="286"/>
      <c r="H61" s="286"/>
      <c r="I61" s="286"/>
      <c r="J61" s="286"/>
      <c r="K61" s="286"/>
      <c r="L61" s="286"/>
      <c r="M61" s="286"/>
      <c r="N61" s="286"/>
      <c r="O61" s="286"/>
      <c r="P61" s="51"/>
      <c r="T61" s="145"/>
      <c r="U61" s="1"/>
      <c r="V61" s="1"/>
      <c r="W61" s="1"/>
      <c r="X61" s="1"/>
      <c r="Y61" s="1"/>
      <c r="Z61" s="1"/>
      <c r="AA61" s="1"/>
      <c r="AB61" s="1"/>
      <c r="AC61" s="1"/>
      <c r="AD61" s="1"/>
      <c r="AE61" s="20"/>
    </row>
    <row r="62" spans="3:31" ht="15" hidden="1" customHeight="1">
      <c r="C62" s="78"/>
      <c r="D62" s="78" t="str">
        <f>IFERROR(IF('Mon Entreprise'!K8&gt;=Annexes!U14,"- Le CA de référence est celui de la création, soit une perte de "&amp;ROUND(AB39,0)&amp;" €"&amp;" ==&gt; "&amp;ROUND(AE39*100,0)&amp;" %",IF(AB37&gt;=AB38,"- Le CA de référence est celui de Octobre 2019, soit une perte de "&amp;ROUND(AB37,0)&amp;" €"&amp;" ==&gt; "&amp;ROUND(AE37*100,0)&amp;" %","- Le CA de référence est celui de de l'exercice 2019, soit une perte de "&amp;ROUND(AB38,0)&amp;" €"&amp;" ==&gt; "&amp;ROUND(AE38*100,0)&amp;" %")),"")</f>
        <v>- Le CA de référence est celui de Octobre 2019, soit une perte de 0 € ==&gt; 0 %</v>
      </c>
      <c r="E62" s="78"/>
      <c r="F62" s="78"/>
      <c r="G62" s="78"/>
      <c r="H62" s="151"/>
      <c r="I62" s="78"/>
      <c r="J62" s="78"/>
      <c r="K62" s="78"/>
      <c r="M62" s="78"/>
      <c r="N62" s="78"/>
      <c r="O62" s="78"/>
      <c r="P62" s="51"/>
      <c r="T62" s="37"/>
      <c r="U62" s="1"/>
      <c r="V62" s="1"/>
      <c r="W62" s="1"/>
      <c r="X62" s="1"/>
      <c r="Y62" s="1"/>
      <c r="Z62" s="1"/>
      <c r="AA62" s="1"/>
      <c r="AB62" s="1"/>
      <c r="AC62" s="1"/>
      <c r="AD62" s="1"/>
      <c r="AE62" s="20"/>
    </row>
    <row r="63" spans="3:31" ht="15" hidden="1" customHeight="1">
      <c r="C63" s="78"/>
      <c r="D63" s="78" t="str">
        <f>IF(AB47&gt;=0.7,IF(AB42="OUI","- Le CA de référence est plafonné à 60 %, il est donc de "&amp;ROUND(AB50*0.6,0)&amp;" €",IF(AND(AB43="OUI",AB41&gt;=0.8),"- Le CA de référence est plafonné à 60 %, il est donc de "&amp;ROUND(AB50*0.6,0)&amp;" €","- Sans ticket modérateur")),"- Sans ticket modérateur")</f>
        <v>- Sans ticket modérateur</v>
      </c>
      <c r="E63" s="78"/>
      <c r="F63" s="78"/>
      <c r="G63" s="78"/>
      <c r="H63" s="78"/>
      <c r="I63" s="78"/>
      <c r="J63" s="78"/>
      <c r="K63" s="78"/>
      <c r="L63" s="78"/>
      <c r="M63" s="78"/>
      <c r="N63" s="78"/>
      <c r="O63" s="78"/>
      <c r="P63" s="51"/>
      <c r="T63" s="21"/>
      <c r="U63" s="1"/>
      <c r="V63" s="1"/>
      <c r="W63" s="1"/>
      <c r="X63" s="1"/>
      <c r="Y63" s="1"/>
      <c r="Z63" s="1"/>
      <c r="AA63" s="1"/>
      <c r="AB63" s="1"/>
      <c r="AC63" s="1"/>
      <c r="AD63" s="1"/>
      <c r="AE63" s="20"/>
    </row>
    <row r="64" spans="3:31" ht="15" hidden="1" customHeight="1" thickBot="1">
      <c r="T64" s="38"/>
      <c r="U64" s="1"/>
      <c r="V64" s="1"/>
      <c r="W64" s="1"/>
      <c r="X64" s="1"/>
      <c r="Y64" s="1"/>
      <c r="Z64" s="1"/>
      <c r="AA64" s="1"/>
      <c r="AB64" s="1"/>
      <c r="AC64" s="1"/>
      <c r="AD64" s="1"/>
      <c r="AE64" s="20"/>
    </row>
    <row r="65" spans="2:31" ht="15" hidden="1" customHeight="1">
      <c r="D65" s="276" t="str">
        <f>IFERROR(IF(AB45="Non","Vous avez débuté votre activité après le 30 Septembre 2020, vous ne pouvez donc pas bénéficier de cette aide",IF(AB47&gt;=0.7,IF(AB42="OUI",IF(AB51&gt;=Annexes!S6,"Dans votre cas, l'aide est Plafonnée, à "&amp;Annexes!S6&amp;" € pour le mois d'octobre","Vous pouvez bénéficier, au titre de cette aide, d'un montant "&amp;ROUND(AB51,0)&amp;" € pour le mois d'octobre"),IF(AND(AB43="OUI",AB41&gt;=0.8),IF(AB51&gt;=Annexes!S6,"Dans votre cas, l'aide est Plafonnée, à "&amp;Annexes!S6&amp;" € pour le mois d'octobre","Vous pouvez bénéficier, au titre de cette aide, d'un montant "&amp;ROUND(AB51,0)&amp;" € pour le mois d'octobre"),"L'entreprise n'est pas mentionnée en annexe 1 (S1) ou en annexe 2 (S1 bis) du décret 2020-1328 et ayant subi une perte de CA d'au moins 80 % entre le 15/03/2020 et le 15/05/2020, l'entreprise ne peut donc pas bénéficier de cette aide")),IF(AB47&gt;=0.5,IF(AB42="OUI",IF(AB46&gt;=Annexes!S5,"Dans votre cas, l'aide est Plafonnée, à "&amp;Annexes!S5&amp;" € pour le mois d'octobre","Vous pouvez bénéficier, au titre de cette aide, d'un montant "&amp;ROUND(AB46,0)&amp;" € pour le mois d'octobre"),IF(AND(AB43="OUI",AB41&gt;=0.8),IF(AB46&gt;=Annexes!S5,"Dans votre cas, l'aide est Plafonnée, à "&amp;Annexes!S5&amp;" € pour le mois d'octobre","Vous pouvez bénéficier, au titre de cette aide, d'un montant "&amp;ROUND(AB46,0)&amp;" € pour le mois d'octobre"),"L'entreprise n'est pas mentionnée en annexe 1 (S1) ou en annexe 2 (S1 bis) du décret 2020-1328 et ayant subi une perte de CA d'au moins 80 % entre le 15/03/2020 et le 15/05/2020, l'entreprise ne peut donc pas bénéficier de cette aide")),"L'entreprise n'a pas subi de perte d'au-moins 50 % sur son CA d'Octobre 2020"))),"Vous n'avez pas indiqué de chiffre d'affaires de référence")</f>
        <v>L'entreprise n'a pas subi de perte d'au-moins 50 % sur son CA d'Octobre 2020</v>
      </c>
      <c r="E65" s="277"/>
      <c r="F65" s="277"/>
      <c r="G65" s="277"/>
      <c r="H65" s="277"/>
      <c r="I65" s="277"/>
      <c r="J65" s="277"/>
      <c r="K65" s="277"/>
      <c r="L65" s="277"/>
      <c r="M65" s="277"/>
      <c r="N65" s="277"/>
      <c r="O65" s="278"/>
      <c r="T65" s="28"/>
      <c r="U65" s="49"/>
      <c r="V65" s="1"/>
      <c r="W65" s="1"/>
      <c r="X65" s="1"/>
      <c r="Y65" s="1"/>
      <c r="Z65" s="1"/>
      <c r="AA65" s="1"/>
      <c r="AB65" s="1"/>
      <c r="AC65" s="1"/>
      <c r="AD65" s="1"/>
      <c r="AE65" s="20"/>
    </row>
    <row r="66" spans="2:31" ht="15.75" hidden="1" customHeight="1">
      <c r="D66" s="279"/>
      <c r="E66" s="280"/>
      <c r="F66" s="280"/>
      <c r="G66" s="280"/>
      <c r="H66" s="280"/>
      <c r="I66" s="280"/>
      <c r="J66" s="280"/>
      <c r="K66" s="280"/>
      <c r="L66" s="280"/>
      <c r="M66" s="280"/>
      <c r="N66" s="280"/>
      <c r="O66" s="281"/>
      <c r="T66" s="21"/>
      <c r="U66" s="1"/>
      <c r="V66" s="1"/>
      <c r="W66" s="1"/>
      <c r="X66" s="1"/>
      <c r="Y66" s="1"/>
      <c r="Z66" s="1"/>
      <c r="AA66" s="1"/>
      <c r="AB66" s="1"/>
      <c r="AC66" s="1"/>
      <c r="AD66" s="1"/>
      <c r="AE66" s="20"/>
    </row>
    <row r="67" spans="2:31" ht="15.75" hidden="1" customHeight="1">
      <c r="D67" s="279"/>
      <c r="E67" s="280"/>
      <c r="F67" s="280"/>
      <c r="G67" s="280"/>
      <c r="H67" s="280"/>
      <c r="I67" s="280"/>
      <c r="J67" s="280"/>
      <c r="K67" s="280"/>
      <c r="L67" s="280"/>
      <c r="M67" s="280"/>
      <c r="N67" s="280"/>
      <c r="O67" s="281"/>
      <c r="T67" s="21"/>
      <c r="U67" s="1"/>
      <c r="V67" s="1"/>
      <c r="W67" s="1"/>
      <c r="X67" s="1"/>
      <c r="Y67" s="1"/>
      <c r="Z67" s="1"/>
      <c r="AA67" s="1"/>
      <c r="AB67" s="1"/>
      <c r="AC67" s="1"/>
      <c r="AD67" s="1"/>
      <c r="AE67" s="20"/>
    </row>
    <row r="68" spans="2:31" ht="15" hidden="1" customHeight="1" thickBot="1">
      <c r="D68" s="282"/>
      <c r="E68" s="283"/>
      <c r="F68" s="283"/>
      <c r="G68" s="283"/>
      <c r="H68" s="283"/>
      <c r="I68" s="283"/>
      <c r="J68" s="283"/>
      <c r="K68" s="283"/>
      <c r="L68" s="283"/>
      <c r="M68" s="283"/>
      <c r="N68" s="283"/>
      <c r="O68" s="284"/>
      <c r="T68" s="21"/>
      <c r="U68" s="1"/>
      <c r="V68" s="1"/>
      <c r="W68" s="1"/>
      <c r="X68" s="1"/>
      <c r="Y68" s="1"/>
      <c r="Z68" s="1"/>
      <c r="AA68" s="1"/>
      <c r="AB68" s="1"/>
      <c r="AC68" s="1"/>
      <c r="AD68" s="1"/>
      <c r="AE68" s="20"/>
    </row>
    <row r="69" spans="2:31" ht="15" hidden="1" customHeight="1">
      <c r="C69" s="1"/>
      <c r="D69" s="1"/>
      <c r="E69" s="1"/>
      <c r="F69" s="1"/>
      <c r="G69" s="1"/>
      <c r="H69" s="1"/>
      <c r="I69" s="1"/>
      <c r="J69" s="1"/>
      <c r="K69" s="1"/>
      <c r="L69" s="1"/>
      <c r="M69" s="1"/>
      <c r="N69" s="1"/>
      <c r="O69" s="1"/>
      <c r="T69" s="21"/>
      <c r="U69" s="1"/>
      <c r="V69" s="1"/>
      <c r="W69" s="1"/>
      <c r="X69" s="1"/>
      <c r="Y69" s="1"/>
      <c r="Z69" s="1"/>
      <c r="AA69" s="1"/>
      <c r="AB69" s="1"/>
      <c r="AC69" s="1"/>
      <c r="AD69" s="1"/>
      <c r="AE69" s="20"/>
    </row>
    <row r="70" spans="2:31" ht="15" hidden="1" customHeight="1">
      <c r="C70" s="156"/>
      <c r="D70" s="156"/>
      <c r="E70" s="17"/>
      <c r="F70" s="17"/>
      <c r="G70" s="17"/>
      <c r="H70" s="17"/>
      <c r="I70" s="17"/>
      <c r="J70" s="17"/>
      <c r="K70" s="17"/>
      <c r="L70" s="17"/>
      <c r="M70" s="157"/>
      <c r="N70" s="17"/>
      <c r="O70" s="17"/>
      <c r="T70" s="21"/>
      <c r="U70" s="1"/>
      <c r="V70" s="1"/>
      <c r="W70" s="1"/>
      <c r="X70" s="1"/>
      <c r="Y70" s="1"/>
      <c r="Z70" s="1"/>
      <c r="AA70" s="1"/>
      <c r="AB70" s="1"/>
      <c r="AC70" s="1"/>
      <c r="AD70" s="1"/>
      <c r="AE70" s="20"/>
    </row>
    <row r="71" spans="2:31" ht="15.75" hidden="1" customHeight="1">
      <c r="B71" s="5"/>
      <c r="C71" s="5"/>
      <c r="D71" s="5"/>
      <c r="P71" s="1"/>
      <c r="T71" s="21"/>
      <c r="U71" s="1"/>
      <c r="V71" s="1"/>
      <c r="W71" s="1"/>
      <c r="X71" s="1"/>
      <c r="Y71" s="1"/>
      <c r="Z71" s="1"/>
      <c r="AA71" s="1"/>
      <c r="AB71" s="1"/>
      <c r="AC71" s="1"/>
      <c r="AD71" s="1"/>
      <c r="AE71" s="20"/>
    </row>
    <row r="72" spans="2:31" ht="15" hidden="1" customHeight="1">
      <c r="B72" s="76"/>
      <c r="C72" s="148" t="s">
        <v>216</v>
      </c>
      <c r="D72" s="148"/>
      <c r="E72" s="78"/>
      <c r="F72" s="78"/>
      <c r="G72" s="78"/>
      <c r="H72" s="78"/>
      <c r="I72" s="78"/>
      <c r="J72" s="78"/>
      <c r="K72" s="78"/>
      <c r="L72" s="142"/>
      <c r="M72" s="78"/>
      <c r="N72" s="78"/>
      <c r="O72" s="78"/>
      <c r="P72" s="55"/>
      <c r="T72" s="21"/>
      <c r="U72" s="1"/>
      <c r="V72" s="1"/>
      <c r="W72" s="1"/>
      <c r="X72" s="1"/>
      <c r="Y72" s="1"/>
      <c r="Z72" s="1"/>
      <c r="AA72" s="1"/>
      <c r="AB72" s="1"/>
      <c r="AC72" s="1"/>
      <c r="AD72" s="1"/>
      <c r="AE72" s="20"/>
    </row>
    <row r="73" spans="2:31" ht="15" hidden="1" customHeight="1">
      <c r="B73" s="51"/>
      <c r="C73" s="78"/>
      <c r="D73" s="78" t="str">
        <f>"- Nombre de jours de fermetures au mois d'octobre : "&amp;IF(Annexes!M5=FALSE,0,IF(Annexes!Q5=1,0,Annexes!Q5-1))&amp;" jour(s)"</f>
        <v>- Nombre de jours de fermetures au mois d'octobre : 0 jour(s)</v>
      </c>
      <c r="E73" s="78"/>
      <c r="F73" s="78"/>
      <c r="G73" s="78"/>
      <c r="H73" s="78"/>
      <c r="I73" s="78"/>
      <c r="J73" s="78"/>
      <c r="K73" s="78"/>
      <c r="L73" s="78"/>
      <c r="M73" s="78"/>
      <c r="N73" s="78"/>
      <c r="O73" s="78"/>
      <c r="P73" s="55"/>
      <c r="Q73" s="55"/>
      <c r="R73" s="1"/>
      <c r="S73" s="1"/>
      <c r="T73" s="21"/>
      <c r="U73" s="1"/>
      <c r="V73" s="1"/>
      <c r="W73" s="1"/>
      <c r="X73" s="1"/>
      <c r="Y73" s="1"/>
      <c r="Z73" s="1"/>
      <c r="AA73" s="1"/>
      <c r="AB73" s="1"/>
      <c r="AC73" s="1"/>
      <c r="AD73" s="1"/>
      <c r="AE73" s="20"/>
    </row>
    <row r="74" spans="2:31" ht="15" hidden="1" customHeight="1">
      <c r="B74" s="76"/>
      <c r="C74" s="148"/>
      <c r="D74" s="148"/>
      <c r="E74" s="78" t="str">
        <f>IF(Annexes!M5=FALSE,"Vous n'avez pas coché la case Fermeture administrative de Septembre à Octobre",IF(Annexes!Q5=1,"Vous n'avez pas de jour de fermeture en Octobre",""))</f>
        <v>Vous n'avez pas coché la case Fermeture administrative de Septembre à Octobre</v>
      </c>
      <c r="F74" s="78"/>
      <c r="G74" s="78"/>
      <c r="H74" s="78"/>
      <c r="I74" s="78"/>
      <c r="J74" s="78"/>
      <c r="K74" s="78"/>
      <c r="L74" s="78"/>
      <c r="M74" s="78"/>
      <c r="N74" s="78"/>
      <c r="O74" s="78"/>
      <c r="P74" s="79"/>
      <c r="Q74" s="55"/>
      <c r="R74" s="55"/>
      <c r="S74" s="1"/>
      <c r="T74" s="33"/>
      <c r="U74" s="274" t="s">
        <v>113</v>
      </c>
      <c r="V74" s="274"/>
      <c r="W74" s="274"/>
      <c r="X74" s="1"/>
      <c r="Y74" s="143" t="s">
        <v>97</v>
      </c>
      <c r="Z74" s="143"/>
      <c r="AA74" s="143"/>
      <c r="AB74" s="143" t="s">
        <v>116</v>
      </c>
      <c r="AC74" s="143"/>
      <c r="AD74" s="143"/>
      <c r="AE74" s="34" t="s">
        <v>117</v>
      </c>
    </row>
    <row r="75" spans="2:31" ht="15" hidden="1" customHeight="1">
      <c r="B75" s="80"/>
      <c r="C75" s="152"/>
      <c r="D75" s="152" t="str">
        <f>IFERROR(IF('Mon Entreprise'!K8&gt;=Annexes!U14,"- Le CA de référence est celui de la création, soit une perte de "&amp;ROUND(AB77,0)&amp;" €"&amp;" ==&gt; "&amp;ROUND(AE77*100,0)&amp;" %",IF(AB75&gt;=AB76,"- Le CA de référence est celui d'Octobre 2019, soit une perte de "&amp;ROUND(AB75,0)&amp;" €"&amp;" ==&gt; "&amp;ROUND(AE75*100,0)&amp;" %","- Le CA de référence est celui de de l'exercice 2019, soit une perte de "&amp;ROUND(AB76,0)&amp;" €"&amp;" ==&gt; "&amp;ROUND(AE76*100,0)&amp;" %")),"")</f>
        <v>- Le CA de référence est celui d'Octobre 2019, soit une perte de 0 € ==&gt; 0 %</v>
      </c>
      <c r="E75" s="78"/>
      <c r="F75" s="78"/>
      <c r="G75" s="78"/>
      <c r="H75" s="78"/>
      <c r="I75" s="78"/>
      <c r="J75" s="78"/>
      <c r="K75" s="78"/>
      <c r="L75" s="78"/>
      <c r="M75" s="78"/>
      <c r="N75" s="78"/>
      <c r="O75" s="78"/>
      <c r="P75" s="51"/>
      <c r="Q75" s="55"/>
      <c r="R75" s="55"/>
      <c r="S75" s="1"/>
      <c r="T75" s="262" t="s">
        <v>123</v>
      </c>
      <c r="U75" s="249"/>
      <c r="V75" s="249"/>
      <c r="W75" s="249"/>
      <c r="X75" s="1"/>
      <c r="Y75" s="12">
        <f>'Mon Entreprise'!M55</f>
        <v>0</v>
      </c>
      <c r="Z75" s="29"/>
      <c r="AA75" s="30"/>
      <c r="AB75" s="12">
        <f>IF('Mon Entreprise'!I55-'Mon Entreprise'!M55&lt;0,0,'Mon Entreprise'!I55-'Mon Entreprise'!M55)</f>
        <v>0</v>
      </c>
      <c r="AC75" s="1"/>
      <c r="AD75" s="21"/>
      <c r="AE75" s="35">
        <f>IFERROR(1-'Mon Entreprise'!M55/'Mon Entreprise'!I55,0)</f>
        <v>0</v>
      </c>
    </row>
    <row r="76" spans="2:31" ht="15" hidden="1" customHeight="1" thickBot="1">
      <c r="C76" s="5"/>
      <c r="D76" s="5"/>
      <c r="Q76" s="79"/>
      <c r="R76" s="55"/>
      <c r="S76" s="1"/>
      <c r="T76" s="262" t="s">
        <v>118</v>
      </c>
      <c r="U76" s="249"/>
      <c r="V76" s="249"/>
      <c r="W76" s="249"/>
      <c r="X76" s="1"/>
      <c r="Y76" s="12">
        <f>'Mon Entreprise'!I44*(Annexes!O5-1)/360</f>
        <v>0</v>
      </c>
      <c r="Z76" s="29"/>
      <c r="AA76" s="30"/>
      <c r="AB76" s="12">
        <f>IF('Mon Entreprise'!I44*(Annexes!Q5-1)/360-'Mon Entreprise'!M55&lt;0,0,'Mon Entreprise'!I44*(Annexes!Q5-1)/360-'Mon Entreprise'!M55)</f>
        <v>0</v>
      </c>
      <c r="AC76" s="12"/>
      <c r="AD76" s="21"/>
      <c r="AE76" s="35">
        <f>IFERROR(1-'Mon Entreprise'!M55/('Mon Entreprise'!I44*(Annexes!Q5-1)/360),0)</f>
        <v>0</v>
      </c>
    </row>
    <row r="77" spans="2:31" ht="15" hidden="1" customHeight="1">
      <c r="B77" s="5"/>
      <c r="C77" s="5"/>
      <c r="D77" s="263" t="str">
        <f>IFERROR(IF(AB81="NON","Vous avez débuté votre activité après le 30 Septembre 2020, vous ne pouvez donc pas bénéficier de cette aide",IF(AB83="Non","Vous n'avez pas eu de fermeture administrative en octobre, vous ne pouvez donc pas bénéficier de cette aide",IF(AB84&gt;Annexes!S7*(Annexes!Q5-1),"Dans votre cas, l'aide est Plafonnée sur 333 €/jour, soit "&amp;IF(Annexes!S7*(Annexes!Q5-1)&gt;10000,10000,Annexes!S7*(Annexes!Q5-1))&amp;" €, pour le mois d'octobre","Vous pouvez bénéficier, au titre de cette aide, d'un montant "&amp;ROUND(IF(AB84&gt;10000,10000,AB84),0)&amp;" € pour le mois d'octobre"))),"Vous n'avez pas indiqué de chiffre d'affaires de référence")</f>
        <v>Vous n'avez pas eu de fermeture administrative en octobre, vous ne pouvez donc pas bénéficier de cette aide</v>
      </c>
      <c r="E77" s="264"/>
      <c r="F77" s="264"/>
      <c r="G77" s="264"/>
      <c r="H77" s="264"/>
      <c r="I77" s="264"/>
      <c r="J77" s="264"/>
      <c r="K77" s="264"/>
      <c r="L77" s="264"/>
      <c r="M77" s="264"/>
      <c r="N77" s="264"/>
      <c r="O77" s="265"/>
      <c r="Q77" s="51"/>
      <c r="R77" s="79"/>
      <c r="T77" s="262" t="s">
        <v>115</v>
      </c>
      <c r="U77" s="249"/>
      <c r="V77" s="249"/>
      <c r="W77" s="249"/>
      <c r="X77" s="1"/>
      <c r="Y77" s="26" t="str">
        <f>IFERROR(IF('Mon Entreprise'!K8&gt;=Annexes!U14,'Mon Entreprise'!I79,"NC"),"NC")</f>
        <v>NC</v>
      </c>
      <c r="Z77" s="31"/>
      <c r="AA77" s="30"/>
      <c r="AB77" s="48" t="str">
        <f>IFERROR(IF('Mon Entreprise'!K8&gt;=Annexes!U14,IF('Mon Entreprise'!I79-'Mon Entreprise'!M55&lt;0,0,'Mon Entreprise'!I79-'Mon Entreprise'!M55),"NC"),"NC")</f>
        <v>NC</v>
      </c>
      <c r="AC77" s="144"/>
      <c r="AD77" s="21"/>
      <c r="AE77" s="36" t="str">
        <f>IFERROR(IF('Mon Entreprise'!K8&gt;=Annexes!U14,1-'Mon Entreprise'!M55/'Mon Entreprise'!I79,"NC"),"NC")</f>
        <v>NC</v>
      </c>
    </row>
    <row r="78" spans="2:31" ht="15" hidden="1" customHeight="1">
      <c r="B78" s="5"/>
      <c r="C78" s="5"/>
      <c r="D78" s="266"/>
      <c r="E78" s="267"/>
      <c r="F78" s="267"/>
      <c r="G78" s="267"/>
      <c r="H78" s="267"/>
      <c r="I78" s="267"/>
      <c r="J78" s="267"/>
      <c r="K78" s="267"/>
      <c r="L78" s="267"/>
      <c r="M78" s="267"/>
      <c r="N78" s="267"/>
      <c r="O78" s="268"/>
      <c r="Q78" s="51"/>
      <c r="R78" s="79"/>
      <c r="T78" s="145"/>
      <c r="U78" s="144"/>
      <c r="V78" s="144"/>
      <c r="W78" s="144"/>
      <c r="X78" s="1"/>
      <c r="Y78" s="26"/>
      <c r="Z78" s="31"/>
      <c r="AA78" s="29"/>
      <c r="AB78" s="48"/>
      <c r="AC78" s="144"/>
      <c r="AD78" s="1"/>
      <c r="AE78" s="36"/>
    </row>
    <row r="79" spans="2:31" ht="15" hidden="1" customHeight="1">
      <c r="B79" s="5"/>
      <c r="C79" s="5"/>
      <c r="D79" s="266"/>
      <c r="E79" s="267"/>
      <c r="F79" s="267"/>
      <c r="G79" s="267"/>
      <c r="H79" s="267"/>
      <c r="I79" s="267"/>
      <c r="J79" s="267"/>
      <c r="K79" s="267"/>
      <c r="L79" s="267"/>
      <c r="M79" s="267"/>
      <c r="N79" s="267"/>
      <c r="O79" s="268"/>
      <c r="R79" s="51"/>
      <c r="T79" s="21"/>
      <c r="U79" s="1"/>
      <c r="V79" s="1"/>
      <c r="W79" s="1"/>
      <c r="X79" s="1"/>
      <c r="Y79" s="1"/>
      <c r="Z79" s="1"/>
      <c r="AA79" s="1"/>
      <c r="AB79" s="1"/>
      <c r="AC79" s="1"/>
      <c r="AD79" s="1"/>
      <c r="AE79" s="20"/>
    </row>
    <row r="80" spans="2:31" ht="15.75" hidden="1" customHeight="1" thickBot="1">
      <c r="C80" s="5"/>
      <c r="D80" s="269"/>
      <c r="E80" s="270"/>
      <c r="F80" s="270"/>
      <c r="G80" s="270"/>
      <c r="H80" s="270"/>
      <c r="I80" s="270"/>
      <c r="J80" s="270"/>
      <c r="K80" s="270"/>
      <c r="L80" s="270"/>
      <c r="M80" s="270"/>
      <c r="N80" s="270"/>
      <c r="O80" s="271"/>
      <c r="T80" s="21"/>
      <c r="U80" s="1"/>
      <c r="V80" s="1"/>
      <c r="W80" s="1"/>
      <c r="X80" s="1"/>
      <c r="Y80" s="1"/>
      <c r="Z80" s="1"/>
      <c r="AA80" s="1"/>
      <c r="AB80" s="1"/>
      <c r="AC80" s="1"/>
      <c r="AD80" s="1"/>
      <c r="AE80" s="20"/>
    </row>
    <row r="81" spans="1:32" ht="15" hidden="1" customHeight="1">
      <c r="B81" s="5"/>
      <c r="C81" s="5"/>
      <c r="D81" s="5"/>
      <c r="T81" s="21"/>
      <c r="U81" s="250" t="s">
        <v>230</v>
      </c>
      <c r="V81" s="250"/>
      <c r="W81" s="250"/>
      <c r="X81" s="250"/>
      <c r="Y81" s="250"/>
      <c r="Z81" s="158"/>
      <c r="AA81" s="21"/>
      <c r="AB81" s="144" t="str">
        <f>IF('Mon Entreprise'!K8&lt;=Annexes!S18,"Oui","Non")</f>
        <v>Oui</v>
      </c>
      <c r="AC81" s="1"/>
      <c r="AD81" s="1"/>
      <c r="AE81" s="20"/>
    </row>
    <row r="82" spans="1:32" ht="15" hidden="1" customHeight="1">
      <c r="A82" s="5"/>
      <c r="B82" s="5"/>
      <c r="C82" s="5"/>
      <c r="T82" s="21"/>
      <c r="U82" s="249" t="s">
        <v>239</v>
      </c>
      <c r="V82" s="249"/>
      <c r="W82" s="249"/>
      <c r="X82" s="249"/>
      <c r="Y82" s="249"/>
      <c r="Z82" s="144"/>
      <c r="AA82" s="21"/>
      <c r="AB82" s="144">
        <f>IF(Annexes!M5=FALSE,0,IF(Annexes!Q5=1,0,Annexes!Q5-1))</f>
        <v>0</v>
      </c>
      <c r="AC82" s="1"/>
      <c r="AD82" s="1"/>
      <c r="AE82" s="20"/>
    </row>
    <row r="83" spans="1:32" ht="15.75" customHeight="1">
      <c r="T83" s="21"/>
      <c r="U83" s="249" t="s">
        <v>240</v>
      </c>
      <c r="V83" s="249"/>
      <c r="W83" s="249"/>
      <c r="X83" s="249"/>
      <c r="Y83" s="249"/>
      <c r="Z83" s="144"/>
      <c r="AA83" s="21"/>
      <c r="AB83" s="144" t="str">
        <f>IF(Annexes!M5=FALSE,"Non",IF(Annexes!Q5=1,"Non","Oui"))</f>
        <v>Non</v>
      </c>
      <c r="AC83" s="1"/>
      <c r="AD83" s="1"/>
      <c r="AE83" s="20"/>
    </row>
    <row r="84" spans="1:32" ht="15" customHeight="1">
      <c r="B84" s="5"/>
      <c r="C84" s="5"/>
      <c r="D84" s="5"/>
      <c r="T84" s="21"/>
      <c r="U84" s="249" t="s">
        <v>241</v>
      </c>
      <c r="V84" s="249"/>
      <c r="W84" s="249"/>
      <c r="X84" s="249"/>
      <c r="Y84" s="249"/>
      <c r="Z84" s="159"/>
      <c r="AA84" s="21"/>
      <c r="AB84" s="48">
        <f>IF('Mon Entreprise'!K8&gt;=Annexes!U14,AB77,IF(AB75&gt;=AB76,AB75,AB76))</f>
        <v>0</v>
      </c>
      <c r="AC84" s="1"/>
      <c r="AD84" s="1"/>
      <c r="AE84" s="20"/>
    </row>
    <row r="85" spans="1:32" ht="16.5" thickBot="1">
      <c r="C85" s="251" t="s">
        <v>124</v>
      </c>
      <c r="D85" s="251"/>
      <c r="E85" s="251"/>
      <c r="F85" s="251"/>
      <c r="G85" s="251"/>
      <c r="H85" s="251"/>
      <c r="I85" s="81"/>
      <c r="J85" s="81"/>
      <c r="K85" s="81"/>
      <c r="L85" s="81"/>
      <c r="M85" s="81"/>
      <c r="N85" s="81"/>
      <c r="O85" s="81"/>
      <c r="P85" s="1"/>
      <c r="T85" s="22"/>
      <c r="U85" s="17"/>
      <c r="V85" s="17"/>
      <c r="W85" s="17"/>
      <c r="X85" s="17"/>
      <c r="Y85" s="17"/>
      <c r="Z85" s="17"/>
      <c r="AA85" s="17"/>
      <c r="AB85" s="17"/>
      <c r="AC85" s="17"/>
      <c r="AD85" s="17"/>
      <c r="AE85" s="4"/>
    </row>
    <row r="86" spans="1:32" ht="15.75">
      <c r="B86" s="83"/>
      <c r="C86" s="32"/>
      <c r="D86" s="32"/>
      <c r="E86" s="32"/>
      <c r="F86" s="32"/>
      <c r="G86" s="32"/>
      <c r="H86" s="32"/>
      <c r="I86" s="1"/>
      <c r="J86" s="1"/>
      <c r="K86" s="1"/>
      <c r="L86" s="1"/>
      <c r="M86" s="1"/>
      <c r="N86" s="1"/>
      <c r="O86" s="1"/>
      <c r="P86" s="1"/>
      <c r="T86" s="23"/>
      <c r="U86" s="18"/>
      <c r="V86" s="18"/>
      <c r="W86" s="18"/>
      <c r="X86" s="18"/>
      <c r="Y86" s="18"/>
      <c r="Z86" s="18"/>
      <c r="AA86" s="18"/>
      <c r="AB86" s="18"/>
      <c r="AC86" s="18"/>
      <c r="AD86" s="18"/>
      <c r="AE86" s="19"/>
    </row>
    <row r="87" spans="1:32" ht="15.75" hidden="1">
      <c r="B87" s="125"/>
      <c r="C87" s="261" t="s">
        <v>119</v>
      </c>
      <c r="D87" s="261"/>
      <c r="E87" s="261"/>
      <c r="F87" s="261"/>
      <c r="G87" s="261"/>
      <c r="H87" s="261"/>
      <c r="I87" s="261"/>
      <c r="J87" s="261"/>
      <c r="K87" s="261"/>
      <c r="L87" s="261"/>
      <c r="M87" s="261"/>
      <c r="N87" s="261"/>
      <c r="O87" s="261"/>
      <c r="P87" s="1"/>
      <c r="Q87" s="1"/>
      <c r="T87" s="21"/>
      <c r="U87" s="1"/>
      <c r="V87" s="1"/>
      <c r="W87" s="1"/>
      <c r="X87" s="1"/>
      <c r="Y87" s="1"/>
      <c r="Z87" s="1"/>
      <c r="AA87" s="1"/>
      <c r="AB87" s="1"/>
      <c r="AC87" s="1"/>
      <c r="AD87" s="1"/>
      <c r="AE87" s="20"/>
    </row>
    <row r="88" spans="1:32" ht="15.75" hidden="1">
      <c r="B88" s="125"/>
      <c r="C88" s="146"/>
      <c r="D88" s="78" t="s">
        <v>120</v>
      </c>
      <c r="E88" s="146"/>
      <c r="F88" s="146"/>
      <c r="G88" s="146"/>
      <c r="H88" s="146"/>
      <c r="I88" s="146"/>
      <c r="J88" s="146"/>
      <c r="K88" s="146"/>
      <c r="L88" s="146"/>
      <c r="M88" s="146"/>
      <c r="N88" s="146"/>
      <c r="O88" s="146"/>
      <c r="P88" s="1"/>
      <c r="Q88" s="1"/>
      <c r="T88" s="21"/>
      <c r="U88" s="1"/>
      <c r="V88" s="1"/>
      <c r="W88" s="1"/>
      <c r="X88" s="1"/>
      <c r="Y88" s="1"/>
      <c r="Z88" s="1"/>
      <c r="AA88" s="1"/>
      <c r="AB88" s="1"/>
      <c r="AC88" s="1"/>
      <c r="AD88" s="1"/>
      <c r="AE88" s="20"/>
    </row>
    <row r="89" spans="1:32" ht="16.5" thickBot="1">
      <c r="B89" s="32"/>
      <c r="C89" s="32"/>
      <c r="D89" s="32"/>
      <c r="E89" s="32"/>
      <c r="F89" s="32"/>
      <c r="G89" s="32"/>
      <c r="H89" s="32"/>
      <c r="P89" s="1"/>
      <c r="Q89" s="1"/>
      <c r="R89" s="1"/>
      <c r="S89" s="1"/>
      <c r="T89" s="21"/>
      <c r="U89" s="1"/>
      <c r="V89" s="1"/>
      <c r="W89" s="1"/>
      <c r="X89" s="1"/>
      <c r="Y89" s="1"/>
      <c r="Z89" s="1"/>
      <c r="AA89" s="1"/>
      <c r="AB89" s="1"/>
      <c r="AC89" s="1"/>
      <c r="AD89" s="1"/>
      <c r="AE89" s="20"/>
    </row>
    <row r="90" spans="1:32" ht="15.75">
      <c r="B90" s="32"/>
      <c r="C90" s="32"/>
      <c r="D90" s="252" t="str">
        <f>IFERROR(IF(AND(AB124=0,AB125=0),"Vous ne pouvez pas bénéficier du fonds de solidarité pour le mois de Novembre 2020",IF(AB124&gt;AB125,"Votre entreprise peut bénéficier d'une aide de "&amp;AB124&amp;" €, au titre d'une perte d'au-moins 50 % de votre CA en Novembre 2020","Votre entreprise peut bénéficier d'une aide de "&amp;AB125&amp;" €, au titre d'une fermeture Administrative, ou d'une des activités mentionnées en annexe 1, ou en annexe 2 ayant une perte de CA d'au moins 80 % entre le 15/03/2020 et le 15/05/2020")),"Vous n'avez pas indiqué de chiffre d'affaires de référence")</f>
        <v>Vous ne pouvez pas bénéficier du fonds de solidarité pour le mois de Novembre 2020</v>
      </c>
      <c r="E90" s="253"/>
      <c r="F90" s="253"/>
      <c r="G90" s="253"/>
      <c r="H90" s="253"/>
      <c r="I90" s="253"/>
      <c r="J90" s="253"/>
      <c r="K90" s="253"/>
      <c r="L90" s="253"/>
      <c r="M90" s="253"/>
      <c r="N90" s="253"/>
      <c r="O90" s="254"/>
      <c r="P90" s="1"/>
      <c r="Q90" s="1"/>
      <c r="R90" s="1"/>
      <c r="S90" s="1"/>
      <c r="T90" s="21"/>
      <c r="U90" s="1"/>
      <c r="V90" s="1"/>
      <c r="W90" s="1"/>
      <c r="X90" s="1"/>
      <c r="Y90" s="1"/>
      <c r="Z90" s="1"/>
      <c r="AA90" s="1"/>
      <c r="AB90" s="1"/>
      <c r="AC90" s="1"/>
      <c r="AD90" s="1"/>
      <c r="AE90" s="20"/>
    </row>
    <row r="91" spans="1:32" ht="15.75" customHeight="1">
      <c r="B91" s="32"/>
      <c r="C91" s="32"/>
      <c r="D91" s="255"/>
      <c r="E91" s="256"/>
      <c r="F91" s="256"/>
      <c r="G91" s="256"/>
      <c r="H91" s="256"/>
      <c r="I91" s="256"/>
      <c r="J91" s="256"/>
      <c r="K91" s="256"/>
      <c r="L91" s="256"/>
      <c r="M91" s="256"/>
      <c r="N91" s="256"/>
      <c r="O91" s="257"/>
      <c r="P91" s="1"/>
      <c r="Q91" s="1"/>
      <c r="R91" s="1"/>
      <c r="S91" s="1"/>
      <c r="T91" s="21"/>
      <c r="U91" s="1"/>
      <c r="V91" s="1"/>
      <c r="W91" s="1"/>
      <c r="X91" s="1"/>
      <c r="Y91" s="1"/>
      <c r="Z91" s="1"/>
      <c r="AA91" s="1"/>
      <c r="AB91" s="1"/>
      <c r="AC91" s="1"/>
      <c r="AD91" s="1"/>
      <c r="AE91" s="20"/>
    </row>
    <row r="92" spans="1:32" ht="15.75">
      <c r="B92" s="32"/>
      <c r="C92" s="32"/>
      <c r="D92" s="255"/>
      <c r="E92" s="256"/>
      <c r="F92" s="256"/>
      <c r="G92" s="256"/>
      <c r="H92" s="256"/>
      <c r="I92" s="256"/>
      <c r="J92" s="256"/>
      <c r="K92" s="256"/>
      <c r="L92" s="256"/>
      <c r="M92" s="256"/>
      <c r="N92" s="256"/>
      <c r="O92" s="257"/>
      <c r="P92" s="1"/>
      <c r="Q92" s="1"/>
      <c r="R92" s="1"/>
      <c r="S92" s="1"/>
      <c r="T92" s="21"/>
      <c r="U92" s="1"/>
      <c r="V92" s="1"/>
      <c r="W92" s="1"/>
      <c r="X92" s="1"/>
      <c r="Y92" s="1"/>
      <c r="Z92" s="1"/>
      <c r="AA92" s="1"/>
      <c r="AB92" s="1"/>
      <c r="AC92" s="1"/>
      <c r="AD92" s="1"/>
      <c r="AE92" s="20"/>
    </row>
    <row r="93" spans="1:32" ht="15.75">
      <c r="B93" s="32"/>
      <c r="C93" s="32"/>
      <c r="D93" s="255"/>
      <c r="E93" s="256"/>
      <c r="F93" s="256"/>
      <c r="G93" s="256"/>
      <c r="H93" s="256"/>
      <c r="I93" s="256"/>
      <c r="J93" s="256"/>
      <c r="K93" s="256"/>
      <c r="L93" s="256"/>
      <c r="M93" s="256"/>
      <c r="N93" s="256"/>
      <c r="O93" s="257"/>
      <c r="P93" s="1"/>
      <c r="Q93" s="131"/>
      <c r="R93" s="1"/>
      <c r="S93" s="1"/>
      <c r="T93" s="21"/>
      <c r="U93" s="1"/>
      <c r="V93" s="1"/>
      <c r="W93" s="1"/>
      <c r="X93" s="1"/>
      <c r="Y93" s="1"/>
      <c r="Z93" s="1"/>
      <c r="AA93" s="1"/>
      <c r="AB93" s="1"/>
      <c r="AC93" s="1"/>
      <c r="AD93" s="1"/>
      <c r="AE93" s="20"/>
    </row>
    <row r="94" spans="1:32" ht="16.5" thickBot="1">
      <c r="B94" s="32"/>
      <c r="C94" s="32"/>
      <c r="D94" s="258"/>
      <c r="E94" s="259"/>
      <c r="F94" s="259"/>
      <c r="G94" s="259"/>
      <c r="H94" s="259"/>
      <c r="I94" s="259"/>
      <c r="J94" s="259"/>
      <c r="K94" s="259"/>
      <c r="L94" s="259"/>
      <c r="M94" s="259"/>
      <c r="N94" s="259"/>
      <c r="O94" s="260"/>
      <c r="P94" s="1"/>
      <c r="Q94" s="1"/>
      <c r="R94" s="131"/>
      <c r="S94" s="131"/>
      <c r="T94" s="132"/>
      <c r="U94" s="131"/>
      <c r="V94" s="131"/>
      <c r="W94" s="131"/>
      <c r="X94" s="131"/>
      <c r="Y94" s="131"/>
      <c r="Z94" s="131"/>
      <c r="AA94" s="131"/>
      <c r="AB94" s="131"/>
      <c r="AC94" s="131"/>
      <c r="AD94" s="131"/>
      <c r="AE94" s="133"/>
      <c r="AF94" s="121"/>
    </row>
    <row r="95" spans="1:32" hidden="1">
      <c r="B95" s="14"/>
      <c r="C95" s="101"/>
      <c r="D95" s="101"/>
      <c r="E95" s="100"/>
      <c r="F95" s="100"/>
      <c r="G95" s="100"/>
      <c r="H95" s="100"/>
      <c r="I95" s="100"/>
      <c r="J95" s="100"/>
      <c r="K95" s="100"/>
      <c r="L95" s="100"/>
      <c r="M95" s="100"/>
      <c r="N95" s="100"/>
      <c r="O95" s="100"/>
      <c r="Q95" s="1"/>
      <c r="R95" s="1"/>
      <c r="S95" s="1"/>
      <c r="T95" s="21"/>
      <c r="U95" s="1"/>
      <c r="V95" s="1"/>
      <c r="W95" s="1"/>
      <c r="X95" s="1"/>
      <c r="Y95" s="1"/>
      <c r="Z95" s="1"/>
      <c r="AA95" s="1"/>
      <c r="AB95" s="1"/>
      <c r="AC95" s="1"/>
      <c r="AD95" s="1"/>
      <c r="AE95" s="20"/>
    </row>
    <row r="96" spans="1:32" hidden="1">
      <c r="Q96" s="1"/>
      <c r="R96" s="1"/>
      <c r="S96" s="1"/>
      <c r="T96" s="21"/>
      <c r="U96" s="1"/>
      <c r="V96" s="1"/>
      <c r="W96" s="1"/>
      <c r="X96" s="1"/>
      <c r="Y96" s="1"/>
      <c r="Z96" s="1"/>
      <c r="AA96" s="1"/>
      <c r="AB96" s="1"/>
      <c r="AC96" s="1"/>
      <c r="AD96" s="1"/>
      <c r="AE96" s="20"/>
    </row>
    <row r="97" spans="3:31" hidden="1">
      <c r="C97" s="78" t="s">
        <v>215</v>
      </c>
      <c r="D97" s="78"/>
      <c r="E97" s="78"/>
      <c r="F97" s="78"/>
      <c r="G97" s="78"/>
      <c r="H97" s="78"/>
      <c r="I97" s="78"/>
      <c r="J97" s="51"/>
      <c r="K97" s="51"/>
      <c r="L97" s="51"/>
      <c r="M97" s="51"/>
      <c r="N97" s="51"/>
      <c r="O97" s="51"/>
      <c r="R97" s="1"/>
      <c r="S97" s="1"/>
      <c r="T97" s="21"/>
      <c r="U97" s="1"/>
      <c r="V97" s="1"/>
      <c r="W97" s="1"/>
      <c r="X97" s="1"/>
      <c r="Y97" s="1"/>
      <c r="Z97" s="1"/>
      <c r="AA97" s="1"/>
      <c r="AB97" s="1"/>
      <c r="AC97" s="1"/>
      <c r="AD97" s="1"/>
      <c r="AE97" s="20"/>
    </row>
    <row r="98" spans="3:31" ht="15" hidden="1" customHeight="1">
      <c r="C98" s="78"/>
      <c r="D98" s="78" t="str">
        <f>IFERROR(IF('Mon Entreprise'!K8&gt;=Annexes!U14,"Le CA de référence est celui de la création, soit une perte de "&amp;ROUND(AB104,0)&amp;" €"&amp;" ==&gt; "&amp;ROUND(AE104*100,0)&amp;" %",IF(AB102&gt;=AB103,"Le CA de référence est celui de Novembre 2019, soit une perte de "&amp;ROUND(AB102,0)&amp;" €"&amp;" ==&gt; "&amp;ROUND(AE102*100,0)&amp;" %","Le CA de référence est celui de de l'exercice 2019, soit une perte de "&amp;ROUND(AB103,0)&amp;" €"&amp;" ==&gt; "&amp;ROUND(AE103*100,0)&amp;" %")),"")</f>
        <v>Le CA de référence est celui de Novembre 2019, soit une perte de 0 € ==&gt; 0 %</v>
      </c>
      <c r="E98" s="78"/>
      <c r="F98" s="78"/>
      <c r="G98" s="78"/>
      <c r="H98" s="78"/>
      <c r="I98" s="78"/>
      <c r="J98" s="51"/>
      <c r="K98" s="51"/>
      <c r="L98" s="51"/>
      <c r="M98" s="51"/>
      <c r="N98" s="51"/>
      <c r="O98" s="51"/>
      <c r="T98" s="21"/>
      <c r="U98" s="1"/>
      <c r="V98" s="1"/>
      <c r="W98" s="1"/>
      <c r="X98" s="1"/>
      <c r="Y98" s="1"/>
      <c r="Z98" s="1"/>
      <c r="AA98" s="1"/>
      <c r="AB98" s="1"/>
      <c r="AC98" s="1"/>
      <c r="AD98" s="1"/>
      <c r="AE98" s="20"/>
    </row>
    <row r="99" spans="3:31" ht="15" hidden="1" customHeight="1" thickBot="1">
      <c r="T99" s="21"/>
      <c r="U99" s="1"/>
      <c r="V99" s="1"/>
      <c r="W99" s="1"/>
      <c r="X99" s="1"/>
      <c r="Y99" s="1"/>
      <c r="Z99" s="1"/>
      <c r="AA99" s="1"/>
      <c r="AB99" s="1"/>
      <c r="AC99" s="1"/>
      <c r="AD99" s="1"/>
      <c r="AE99" s="20"/>
    </row>
    <row r="100" spans="3:31" ht="15" hidden="1" customHeight="1">
      <c r="D100" s="276" t="str">
        <f>IFERROR(IF(AB106="Non","Vous avez débuté votre activité après le 30 Septembre 2020, vous ne pouvez donc pas bénéficier de cette aide",IF(AB108&gt;=0.5,IF(AB107&gt;Annexes!S5,"Dans votre cas, l'aide est Plafonnée, à "&amp;Annexes!S5&amp;" € pour le mois de novembre","Vous pouvez bénéficier, au titre de cette aide, d'un montant "&amp;ROUND(AB107,0)&amp;" € pour le mois de novembre"),"L'entreprise n'a pas une perte d'au moins 50 % en novembre 2020")),"Vous n'avez pas indiqué de chiffre d'affaires de référence")</f>
        <v>L'entreprise n'a pas une perte d'au moins 50 % en novembre 2020</v>
      </c>
      <c r="E100" s="277"/>
      <c r="F100" s="277"/>
      <c r="G100" s="277"/>
      <c r="H100" s="277"/>
      <c r="I100" s="277"/>
      <c r="J100" s="277"/>
      <c r="K100" s="277"/>
      <c r="L100" s="277"/>
      <c r="M100" s="277"/>
      <c r="N100" s="277"/>
      <c r="O100" s="278"/>
      <c r="T100" s="33"/>
      <c r="U100" s="274" t="s">
        <v>113</v>
      </c>
      <c r="V100" s="274"/>
      <c r="W100" s="274"/>
      <c r="X100" s="1"/>
      <c r="Y100" s="143" t="s">
        <v>97</v>
      </c>
      <c r="Z100" s="143"/>
      <c r="AA100" s="143"/>
      <c r="AB100" s="143" t="s">
        <v>116</v>
      </c>
      <c r="AC100" s="143"/>
      <c r="AD100" s="143"/>
      <c r="AE100" s="34" t="s">
        <v>117</v>
      </c>
    </row>
    <row r="101" spans="3:31" ht="15" hidden="1" customHeight="1">
      <c r="D101" s="279"/>
      <c r="E101" s="280"/>
      <c r="F101" s="280"/>
      <c r="G101" s="280"/>
      <c r="H101" s="280"/>
      <c r="I101" s="280"/>
      <c r="J101" s="280"/>
      <c r="K101" s="280"/>
      <c r="L101" s="280"/>
      <c r="M101" s="280"/>
      <c r="N101" s="280"/>
      <c r="O101" s="281"/>
      <c r="T101" s="33"/>
      <c r="U101" s="143"/>
      <c r="V101" s="143"/>
      <c r="W101" s="143"/>
      <c r="X101" s="1"/>
      <c r="Y101" s="143"/>
      <c r="Z101" s="143"/>
      <c r="AA101" s="143"/>
      <c r="AB101" s="143"/>
      <c r="AC101" s="143"/>
      <c r="AD101" s="143"/>
      <c r="AE101" s="34"/>
    </row>
    <row r="102" spans="3:31" ht="15" hidden="1" customHeight="1">
      <c r="D102" s="279"/>
      <c r="E102" s="280"/>
      <c r="F102" s="280"/>
      <c r="G102" s="280"/>
      <c r="H102" s="280"/>
      <c r="I102" s="280"/>
      <c r="J102" s="280"/>
      <c r="K102" s="280"/>
      <c r="L102" s="280"/>
      <c r="M102" s="280"/>
      <c r="N102" s="280"/>
      <c r="O102" s="281"/>
      <c r="T102" s="262" t="s">
        <v>123</v>
      </c>
      <c r="U102" s="249"/>
      <c r="V102" s="249"/>
      <c r="W102" s="249"/>
      <c r="X102" s="1"/>
      <c r="Y102" s="12">
        <f>'Mon Entreprise'!I60</f>
        <v>0</v>
      </c>
      <c r="Z102" s="162"/>
      <c r="AA102" s="29"/>
      <c r="AB102" s="12">
        <f>IF('Mon Entreprise'!I60-'Mon Entreprise'!M60&lt;0,0,'Mon Entreprise'!I60-'Mon Entreprise'!M60)</f>
        <v>0</v>
      </c>
      <c r="AC102" s="20"/>
      <c r="AD102" s="1"/>
      <c r="AE102" s="35">
        <f>IFERROR(1-'Mon Entreprise'!M60/'Mon Entreprise'!I60,0)</f>
        <v>0</v>
      </c>
    </row>
    <row r="103" spans="3:31" ht="15" hidden="1" customHeight="1" thickBot="1">
      <c r="D103" s="282"/>
      <c r="E103" s="283"/>
      <c r="F103" s="283"/>
      <c r="G103" s="283"/>
      <c r="H103" s="283"/>
      <c r="I103" s="283"/>
      <c r="J103" s="283"/>
      <c r="K103" s="283"/>
      <c r="L103" s="283"/>
      <c r="M103" s="283"/>
      <c r="N103" s="283"/>
      <c r="O103" s="284"/>
      <c r="T103" s="262" t="s">
        <v>118</v>
      </c>
      <c r="U103" s="249"/>
      <c r="V103" s="249"/>
      <c r="W103" s="249"/>
      <c r="X103" s="1"/>
      <c r="Y103" s="12">
        <f>'Mon Entreprise'!I46</f>
        <v>0</v>
      </c>
      <c r="Z103" s="162"/>
      <c r="AA103" s="29"/>
      <c r="AB103" s="12">
        <f>IF('Mon Entreprise'!I46-'Mon Entreprise'!M60&lt;0,0,'Mon Entreprise'!I46-'Mon Entreprise'!M60)</f>
        <v>0</v>
      </c>
      <c r="AC103" s="47"/>
      <c r="AD103" s="1"/>
      <c r="AE103" s="35">
        <f>IFERROR(1-'Mon Entreprise'!M60/'Mon Entreprise'!I46,0)</f>
        <v>0</v>
      </c>
    </row>
    <row r="104" spans="3:31" ht="15.75" hidden="1" customHeight="1">
      <c r="C104" s="100"/>
      <c r="D104" s="100"/>
      <c r="E104" s="100"/>
      <c r="F104" s="100"/>
      <c r="G104" s="100"/>
      <c r="H104" s="100"/>
      <c r="I104" s="100"/>
      <c r="J104" s="100"/>
      <c r="K104" s="100"/>
      <c r="L104" s="100"/>
      <c r="M104" s="100"/>
      <c r="N104" s="100"/>
      <c r="O104" s="100"/>
      <c r="T104" s="262" t="s">
        <v>115</v>
      </c>
      <c r="U104" s="249"/>
      <c r="V104" s="249"/>
      <c r="W104" s="249"/>
      <c r="X104" s="1"/>
      <c r="Y104" s="26" t="str">
        <f>IF('Mon Entreprise'!I77="","NC",'Mon Entreprise'!I77)</f>
        <v>NC</v>
      </c>
      <c r="Z104" s="163"/>
      <c r="AA104" s="29"/>
      <c r="AB104" s="48" t="str">
        <f>IFERROR(IF('Mon Entreprise'!I77-'Mon Entreprise'!M60&lt;0,0,'Mon Entreprise'!I77-'Mon Entreprise'!M60),"NC")</f>
        <v>NC</v>
      </c>
      <c r="AC104" s="164"/>
      <c r="AD104" s="1"/>
      <c r="AE104" s="36" t="str">
        <f>IFERROR(1-'Mon Entreprise'!M60/'Mon Entreprise'!I77,"NC")</f>
        <v>NC</v>
      </c>
    </row>
    <row r="105" spans="3:31" ht="15" hidden="1" customHeight="1">
      <c r="T105" s="21"/>
      <c r="U105" s="1"/>
      <c r="V105" s="1"/>
      <c r="W105" s="1"/>
      <c r="X105" s="1"/>
      <c r="Y105" s="1"/>
      <c r="Z105" s="1"/>
      <c r="AA105" s="1"/>
      <c r="AB105" s="1"/>
      <c r="AC105" s="1"/>
      <c r="AD105" s="1"/>
      <c r="AE105" s="20"/>
    </row>
    <row r="106" spans="3:31" ht="15" hidden="1" customHeight="1">
      <c r="C106" s="285" t="s">
        <v>245</v>
      </c>
      <c r="D106" s="285"/>
      <c r="E106" s="285"/>
      <c r="F106" s="285"/>
      <c r="G106" s="285"/>
      <c r="H106" s="285"/>
      <c r="I106" s="285"/>
      <c r="J106" s="285"/>
      <c r="K106" s="285"/>
      <c r="L106" s="285"/>
      <c r="M106" s="285"/>
      <c r="N106" s="285"/>
      <c r="O106" s="285"/>
      <c r="P106" s="51"/>
      <c r="T106" s="21"/>
      <c r="U106" s="250" t="s">
        <v>230</v>
      </c>
      <c r="V106" s="250"/>
      <c r="W106" s="250"/>
      <c r="X106" s="250"/>
      <c r="Y106" s="250"/>
      <c r="Z106" s="1"/>
      <c r="AA106" s="21"/>
      <c r="AB106" s="144" t="str">
        <f>IF('Mon Entreprise'!K8&lt;=Annexes!S18,"Oui","Non")</f>
        <v>Oui</v>
      </c>
      <c r="AC106" s="1"/>
      <c r="AD106" s="1"/>
      <c r="AE106" s="20"/>
    </row>
    <row r="107" spans="3:31" ht="15.75" hidden="1" customHeight="1">
      <c r="C107" s="285"/>
      <c r="D107" s="285"/>
      <c r="E107" s="285"/>
      <c r="F107" s="285"/>
      <c r="G107" s="285"/>
      <c r="H107" s="285"/>
      <c r="I107" s="285"/>
      <c r="J107" s="285"/>
      <c r="K107" s="285"/>
      <c r="L107" s="285"/>
      <c r="M107" s="285"/>
      <c r="N107" s="285"/>
      <c r="O107" s="285"/>
      <c r="P107" s="51"/>
      <c r="Q107" s="51"/>
      <c r="T107" s="21"/>
      <c r="U107" s="250" t="s">
        <v>233</v>
      </c>
      <c r="V107" s="250"/>
      <c r="W107" s="250"/>
      <c r="X107" s="250"/>
      <c r="Y107" s="250"/>
      <c r="Z107" s="1"/>
      <c r="AA107" s="21"/>
      <c r="AB107" s="144">
        <f>IF('Mon Entreprise'!K8&gt;=Annexes!U14,AB104,IF(AB102&gt;=AB103,AB102,AB103))</f>
        <v>0</v>
      </c>
      <c r="AC107" s="1"/>
      <c r="AD107" s="1"/>
      <c r="AE107" s="20"/>
    </row>
    <row r="108" spans="3:31" ht="15" hidden="1" customHeight="1">
      <c r="C108" s="78"/>
      <c r="E108" s="285" t="str">
        <f>IF('Mon Entreprise'!K8&gt;Annexes!S18,"",IF(OR(AB114="OUI",AND(AB115="OUI",AB113&gt;=Annexes!T5),AB116=TRUE),IF(K124&gt;Annexes!S6,"",""),IF(AND(AB115="OUI",AB113&lt;Annexes!T5),"L'entreprise fait partie des entreprises mentionnées en annexe 2 du décret mais n'a pas eu une perte de CA d'au-Moins 80 %, entre le 15/03/2020 et le 15/05/2020","L'entreprise ne fait pas partie des entreprises ayant une fermeture administrative et ne fait pas partie des activités mentionnées aux annexes 1 et 2 du décret")))</f>
        <v>L'entreprise ne fait pas partie des entreprises ayant une fermeture administrative et ne fait pas partie des activités mentionnées aux annexes 1 et 2 du décret</v>
      </c>
      <c r="F108" s="285"/>
      <c r="G108" s="285"/>
      <c r="H108" s="285"/>
      <c r="I108" s="285"/>
      <c r="J108" s="285"/>
      <c r="K108" s="285"/>
      <c r="L108" s="285"/>
      <c r="M108" s="285"/>
      <c r="N108" s="285"/>
      <c r="O108" s="285"/>
      <c r="P108" s="51"/>
      <c r="Q108" s="51"/>
      <c r="T108" s="21"/>
      <c r="U108" s="250" t="s">
        <v>234</v>
      </c>
      <c r="V108" s="250"/>
      <c r="W108" s="250"/>
      <c r="X108" s="250"/>
      <c r="Y108" s="250"/>
      <c r="Z108" s="1"/>
      <c r="AA108" s="21"/>
      <c r="AB108" s="27">
        <f>IF('Mon Entreprise'!K8&gt;=Annexes!U14,AE104,IF(AB102&gt;=AB103,AE102,AE103))</f>
        <v>0</v>
      </c>
      <c r="AC108" s="1"/>
      <c r="AD108" s="1"/>
      <c r="AE108" s="20"/>
    </row>
    <row r="109" spans="3:31" ht="15" hidden="1" customHeight="1">
      <c r="C109" s="78"/>
      <c r="D109" s="160"/>
      <c r="E109" s="285"/>
      <c r="F109" s="285"/>
      <c r="G109" s="285"/>
      <c r="H109" s="285"/>
      <c r="I109" s="285"/>
      <c r="J109" s="285"/>
      <c r="K109" s="285"/>
      <c r="L109" s="285"/>
      <c r="M109" s="285"/>
      <c r="N109" s="285"/>
      <c r="O109" s="285"/>
      <c r="P109" s="51"/>
      <c r="Q109" s="51"/>
      <c r="T109" s="21"/>
      <c r="U109" s="249"/>
      <c r="V109" s="249"/>
      <c r="W109" s="249"/>
      <c r="X109" s="249"/>
      <c r="Y109" s="249"/>
      <c r="Z109" s="1"/>
      <c r="AA109" s="1"/>
      <c r="AB109" s="144"/>
      <c r="AC109" s="1"/>
      <c r="AD109" s="1"/>
      <c r="AE109" s="20"/>
    </row>
    <row r="110" spans="3:31" ht="15" hidden="1" customHeight="1">
      <c r="C110" s="78"/>
      <c r="D110" s="78" t="str">
        <f>IFERROR(IF('Mon Entreprise'!K8&gt;=Annexes!U14,"- Le CA de référence est celui de la création, soit une perte de "&amp;ROUND(AB104,0)&amp;" €"&amp;" ==&gt; "&amp;ROUND(AE104*100,0)&amp;" %",IF(AB102&gt;=AB103,"- Le CA de référence est celui de Novembre 2019, soit une perte de "&amp;ROUND(AB102,0)&amp;" €"&amp;" ==&gt; "&amp;ROUND(AE102*100,0)&amp;" %","- Le CA de référence est celui de de l'exercice 2019, soit une perte de "&amp;ROUND(AB103,0)&amp;" €"&amp;" ==&gt; "&amp;ROUND(AE103*100,0)&amp;" %")),"")</f>
        <v>- Le CA de référence est celui de Novembre 2019, soit une perte de 0 € ==&gt; 0 %</v>
      </c>
      <c r="E110" s="78"/>
      <c r="F110" s="78"/>
      <c r="G110" s="78"/>
      <c r="H110" s="78"/>
      <c r="I110" s="78"/>
      <c r="J110" s="78"/>
      <c r="K110" s="78"/>
      <c r="L110" s="78"/>
      <c r="M110" s="78"/>
      <c r="N110" s="78"/>
      <c r="O110" s="78"/>
      <c r="P110" s="51"/>
      <c r="Q110" s="51"/>
      <c r="R110" s="51"/>
      <c r="T110" s="21"/>
      <c r="U110" s="1"/>
      <c r="V110" s="1"/>
      <c r="W110" s="1"/>
      <c r="X110" s="1"/>
      <c r="Y110" s="1"/>
      <c r="Z110" s="1"/>
      <c r="AA110" s="1"/>
      <c r="AB110" s="144"/>
      <c r="AC110" s="1"/>
      <c r="AD110" s="1"/>
      <c r="AE110" s="20"/>
    </row>
    <row r="111" spans="3:31" ht="15" hidden="1" customHeight="1">
      <c r="C111" s="51"/>
      <c r="D111" s="78" t="str">
        <f>IF(OR(AB114="OUI",AB116=TRUE),"- Sans ticket modérateur",IF(AND(AB115="OUI",AB113&gt;=0.8),"- Le CA de référence est plafonné à 80 %, il est donc de "&amp;ROUND(AB121*0.8,0)&amp;" €","-Sans ticket modérateur"))</f>
        <v>-Sans ticket modérateur</v>
      </c>
      <c r="E111" s="51"/>
      <c r="F111" s="51"/>
      <c r="G111" s="51"/>
      <c r="H111" s="51"/>
      <c r="I111" s="51"/>
      <c r="J111" s="51"/>
      <c r="K111" s="51"/>
      <c r="M111" s="51"/>
      <c r="N111" s="51"/>
      <c r="O111" s="51"/>
      <c r="P111" s="51"/>
      <c r="Q111" s="51"/>
      <c r="R111" s="51"/>
      <c r="T111" s="21"/>
      <c r="U111" s="1"/>
      <c r="V111" s="1"/>
      <c r="W111" s="1"/>
      <c r="X111" s="1"/>
      <c r="Y111" s="1"/>
      <c r="Z111" s="1"/>
      <c r="AA111" s="1"/>
      <c r="AB111" s="144"/>
      <c r="AC111" s="1"/>
      <c r="AD111" s="1"/>
      <c r="AE111" s="20"/>
    </row>
    <row r="112" spans="3:31" ht="15" hidden="1" customHeight="1" thickBot="1">
      <c r="Q112" s="51"/>
      <c r="R112" s="51"/>
      <c r="T112" s="21"/>
      <c r="U112" s="1"/>
      <c r="V112" s="1"/>
      <c r="W112" s="1"/>
      <c r="X112" s="1"/>
      <c r="Y112" s="1"/>
      <c r="Z112" s="1"/>
      <c r="AA112" s="1"/>
      <c r="AB112" s="144"/>
      <c r="AC112" s="1"/>
      <c r="AD112" s="1"/>
      <c r="AE112" s="20"/>
    </row>
    <row r="113" spans="2:31" ht="15" hidden="1" customHeight="1">
      <c r="D113" s="276" t="str">
        <f>IFERROR(IF('Mon Entreprise'!K8&gt;Annexes!S18,"Vous avez débuté votre activité après le 30 Septembre 2020, vous ne pouvez donc pas bénéficier de cette aide",IF(AB119&gt;=0.5,IF(OR(AB114="OUI",AND(AB115="OUI",AB113&gt;=Annexes!T5),AB116=TRUE),IF(AB122&gt;Annexes!S6,"Dans votre cas, l'aide est Plafonnée, à "&amp;Annexes!S6&amp;" € pour le mois de Novembre","Vous pouvez bénéficier, au titre de cette aide, d'un montant "&amp;ROUND(AB122,0)&amp;" € pour le mois de novembre"),IF(AND(AB115="OUI",AB113&lt;Annexes!T5),"L'entreprise fait partie des entreprises mentionnées en annexe 2 du décret, mais n'a pas eu une perte de CA d'au-Moins 80 % entre le 15/03/2020 et le 15/05/2020","L'entreprise ne fait pas partie des entreprises ayant une fermeture administrative et ne fait pas partie des activités mentionnées aux annexes 1 et 2 du décret")),"L'entreprise n'a pas une perte d'au moins 50 % en novembre 2020")),"Vous n'avez pas indiqué de chiffre d'affaires de référence")</f>
        <v>L'entreprise n'a pas une perte d'au moins 50 % en novembre 2020</v>
      </c>
      <c r="E113" s="277"/>
      <c r="F113" s="277"/>
      <c r="G113" s="277"/>
      <c r="H113" s="277"/>
      <c r="I113" s="277"/>
      <c r="J113" s="277"/>
      <c r="K113" s="277"/>
      <c r="L113" s="277"/>
      <c r="M113" s="277"/>
      <c r="N113" s="277"/>
      <c r="O113" s="278"/>
      <c r="Q113" s="51"/>
      <c r="R113" s="51"/>
      <c r="T113" s="287" t="s">
        <v>94</v>
      </c>
      <c r="U113" s="288"/>
      <c r="V113" s="288"/>
      <c r="W113" s="288"/>
      <c r="X113" s="288"/>
      <c r="Y113" s="288"/>
      <c r="Z113" s="1"/>
      <c r="AA113" s="21"/>
      <c r="AB113" s="161">
        <f>IFERROR(IF('Mon Entreprise'!K8&lt;Annexes!U19,IF(1-'Mon Entreprise'!M62/'Mon Entreprise'!I62&gt;=1-'Mon Entreprise'!M62/('Mon Entreprise'!I46*2),1-'Mon Entreprise'!M62/'Mon Entreprise'!I62,1-'Mon Entreprise'!M62/('Mon Entreprise'!I46*2)),1-'Mon Entreprise'!M62/'Mon Entreprise'!I70),0)</f>
        <v>0</v>
      </c>
      <c r="AC113" s="1"/>
      <c r="AD113" s="1"/>
      <c r="AE113" s="20"/>
    </row>
    <row r="114" spans="2:31" ht="15" hidden="1" customHeight="1">
      <c r="D114" s="279"/>
      <c r="E114" s="280"/>
      <c r="F114" s="280"/>
      <c r="G114" s="280"/>
      <c r="H114" s="280"/>
      <c r="I114" s="280"/>
      <c r="J114" s="280"/>
      <c r="K114" s="280"/>
      <c r="L114" s="280"/>
      <c r="M114" s="280"/>
      <c r="N114" s="280"/>
      <c r="O114" s="281"/>
      <c r="Q114" s="51"/>
      <c r="R114" s="51"/>
      <c r="T114" s="21"/>
      <c r="U114" s="288" t="s">
        <v>99</v>
      </c>
      <c r="V114" s="288"/>
      <c r="W114" s="288"/>
      <c r="X114" s="288"/>
      <c r="Y114" s="288"/>
      <c r="Z114" s="1"/>
      <c r="AA114" s="21"/>
      <c r="AB114" s="27" t="str">
        <f>IF((AND(Annexes!F5&gt;1,Annexes!F5&lt;61)),"OUI","NON")</f>
        <v>NON</v>
      </c>
      <c r="AC114" s="1"/>
      <c r="AD114" s="1"/>
      <c r="AE114" s="20"/>
    </row>
    <row r="115" spans="2:31" ht="15" hidden="1" customHeight="1">
      <c r="D115" s="279"/>
      <c r="E115" s="280"/>
      <c r="F115" s="280"/>
      <c r="G115" s="280"/>
      <c r="H115" s="280"/>
      <c r="I115" s="280"/>
      <c r="J115" s="280"/>
      <c r="K115" s="280"/>
      <c r="L115" s="280"/>
      <c r="M115" s="280"/>
      <c r="N115" s="280"/>
      <c r="O115" s="281"/>
      <c r="Q115" s="51"/>
      <c r="R115" s="51"/>
      <c r="T115" s="21"/>
      <c r="U115" s="249" t="s">
        <v>100</v>
      </c>
      <c r="V115" s="249"/>
      <c r="W115" s="249"/>
      <c r="X115" s="249"/>
      <c r="Y115" s="249"/>
      <c r="Z115" s="1"/>
      <c r="AA115" s="21"/>
      <c r="AB115" s="27" t="str">
        <f>IF((AND(Annexes!F7&gt;1,Annexes!F7&lt;87)),"OUI","NON")</f>
        <v>NON</v>
      </c>
      <c r="AC115" s="1"/>
      <c r="AD115" s="1"/>
      <c r="AE115" s="20"/>
    </row>
    <row r="116" spans="2:31" ht="15" hidden="1" customHeight="1" thickBot="1">
      <c r="D116" s="282"/>
      <c r="E116" s="283"/>
      <c r="F116" s="283"/>
      <c r="G116" s="283"/>
      <c r="H116" s="283"/>
      <c r="I116" s="283"/>
      <c r="J116" s="283"/>
      <c r="K116" s="283"/>
      <c r="L116" s="283"/>
      <c r="M116" s="283"/>
      <c r="N116" s="283"/>
      <c r="O116" s="284"/>
      <c r="R116" s="51"/>
      <c r="T116" s="21"/>
      <c r="U116" s="249" t="s">
        <v>103</v>
      </c>
      <c r="V116" s="249"/>
      <c r="W116" s="249"/>
      <c r="X116" s="249"/>
      <c r="Y116" s="249"/>
      <c r="Z116" s="1"/>
      <c r="AA116" s="21"/>
      <c r="AB116" s="27" t="b">
        <f>Annexes!M7</f>
        <v>0</v>
      </c>
      <c r="AC116" s="1"/>
      <c r="AD116" s="1"/>
      <c r="AE116" s="20"/>
    </row>
    <row r="117" spans="2:31" ht="15" customHeight="1">
      <c r="R117" s="51"/>
      <c r="T117" s="21"/>
      <c r="U117" s="250" t="s">
        <v>230</v>
      </c>
      <c r="V117" s="250"/>
      <c r="W117" s="250"/>
      <c r="X117" s="250"/>
      <c r="Y117" s="250"/>
      <c r="Z117" s="1"/>
      <c r="AA117" s="21"/>
      <c r="AB117" s="144" t="str">
        <f>IF('Mon Entreprise'!K8&lt;=Annexes!S18,"Oui","Non")</f>
        <v>Oui</v>
      </c>
      <c r="AC117" s="1"/>
      <c r="AD117" s="1"/>
      <c r="AE117" s="20"/>
    </row>
    <row r="118" spans="2:31" ht="15.75" customHeight="1">
      <c r="M118" s="3"/>
      <c r="T118" s="21"/>
      <c r="U118" s="250" t="s">
        <v>246</v>
      </c>
      <c r="V118" s="250"/>
      <c r="W118" s="250"/>
      <c r="X118" s="250"/>
      <c r="Y118" s="250"/>
      <c r="Z118" s="1"/>
      <c r="AA118" s="21"/>
      <c r="AB118" s="144">
        <f>IF('Mon Entreprise'!K8&gt;=Annexes!U14,AB104,IF(AB102&gt;=AB103,AB102,AB103))</f>
        <v>0</v>
      </c>
      <c r="AC118" s="1"/>
      <c r="AD118" s="1"/>
      <c r="AE118" s="20"/>
    </row>
    <row r="119" spans="2:31" ht="15" customHeight="1">
      <c r="M119" s="3"/>
      <c r="T119" s="21"/>
      <c r="U119" s="250" t="s">
        <v>247</v>
      </c>
      <c r="V119" s="250"/>
      <c r="W119" s="250"/>
      <c r="X119" s="250"/>
      <c r="Y119" s="250"/>
      <c r="Z119" s="1"/>
      <c r="AA119" s="21"/>
      <c r="AB119" s="27">
        <f>IF('Mon Entreprise'!K8&gt;=Annexes!U14,AE104,IF(AB102&gt;=AB103,AE102,AE103))</f>
        <v>0</v>
      </c>
      <c r="AC119" s="1"/>
      <c r="AD119" s="1"/>
      <c r="AE119" s="20"/>
    </row>
    <row r="120" spans="2:31" ht="15" customHeight="1">
      <c r="B120" s="189" t="s">
        <v>225</v>
      </c>
      <c r="C120" s="189"/>
      <c r="D120" s="189"/>
      <c r="E120" s="189"/>
      <c r="F120" s="189"/>
      <c r="G120" s="189"/>
      <c r="H120" s="189"/>
      <c r="I120" s="189"/>
      <c r="J120" s="189"/>
      <c r="K120" s="189"/>
      <c r="L120" s="189"/>
      <c r="M120" s="189"/>
      <c r="N120" s="189"/>
      <c r="O120" s="189"/>
      <c r="T120" s="21"/>
      <c r="U120" s="249" t="s">
        <v>232</v>
      </c>
      <c r="V120" s="249"/>
      <c r="W120" s="249"/>
      <c r="X120" s="249"/>
      <c r="Y120" s="249"/>
      <c r="Z120" s="1"/>
      <c r="AA120" s="21"/>
      <c r="AB120" s="73">
        <f>IF(OR(AB114="OUI",AB116=TRUE),1,IF(AND(AB115="OUI",AB113&gt;=0.8),0.8,1))</f>
        <v>1</v>
      </c>
      <c r="AC120" s="1"/>
      <c r="AD120" s="1"/>
      <c r="AE120" s="20"/>
    </row>
    <row r="121" spans="2:31" ht="15.75" customHeight="1">
      <c r="M121" s="3"/>
      <c r="O121" s="1"/>
      <c r="P121" s="1"/>
      <c r="T121" s="21"/>
      <c r="U121" s="249" t="s">
        <v>241</v>
      </c>
      <c r="V121" s="249"/>
      <c r="W121" s="249"/>
      <c r="X121" s="249"/>
      <c r="Y121" s="249"/>
      <c r="Z121" s="1"/>
      <c r="AA121" s="21"/>
      <c r="AB121" s="176">
        <f>IF('Mon Entreprise'!K8&gt;=Annexes!U14,Y104,IF(AB102&gt;=AB103,Y102,Y103))</f>
        <v>0</v>
      </c>
      <c r="AC121" s="1"/>
      <c r="AD121" s="1"/>
      <c r="AE121" s="20"/>
    </row>
    <row r="122" spans="2:31">
      <c r="O122" s="1"/>
      <c r="P122" s="1"/>
      <c r="T122" s="21"/>
      <c r="U122" s="249" t="s">
        <v>249</v>
      </c>
      <c r="V122" s="249"/>
      <c r="W122" s="249"/>
      <c r="X122" s="249"/>
      <c r="Y122" s="249"/>
      <c r="Z122" s="1"/>
      <c r="AA122" s="21"/>
      <c r="AB122" s="144">
        <f>IF(AB118&gt;AB121*AB120,IF(AND(AB118&gt;1500,1500&gt;AB121*AB120),1500,IF(1500&gt;AB118,AB118,AB121*AB120)),AB118)</f>
        <v>0</v>
      </c>
      <c r="AC122" s="1"/>
      <c r="AD122" s="1"/>
      <c r="AE122" s="20"/>
    </row>
    <row r="123" spans="2:31">
      <c r="B123" s="5"/>
      <c r="C123" s="5"/>
      <c r="D123" s="5"/>
      <c r="K123" s="9"/>
      <c r="O123" s="1"/>
      <c r="P123" s="1"/>
      <c r="T123" s="21"/>
      <c r="U123" s="181"/>
      <c r="V123" s="181"/>
      <c r="W123" s="181"/>
      <c r="X123" s="181"/>
      <c r="Y123" s="181"/>
      <c r="Z123" s="1"/>
      <c r="AA123" s="1"/>
      <c r="AB123" s="181"/>
      <c r="AC123" s="1"/>
      <c r="AD123" s="1"/>
      <c r="AE123" s="20"/>
    </row>
    <row r="124" spans="2:31">
      <c r="B124" s="6"/>
      <c r="C124" s="6"/>
      <c r="D124" s="6"/>
      <c r="O124" s="1"/>
      <c r="P124" s="1"/>
      <c r="Q124" s="1"/>
      <c r="T124" s="21"/>
      <c r="U124" s="249" t="s">
        <v>243</v>
      </c>
      <c r="V124" s="249"/>
      <c r="W124" s="249"/>
      <c r="X124" s="249"/>
      <c r="Y124" s="249"/>
      <c r="Z124" s="1"/>
      <c r="AA124" s="21"/>
      <c r="AB124" s="144">
        <f>IF(AB106="Non",0,IF(AB108&gt;=0.5,IF(AB107&gt;Annexes!S5,Annexes!S5,ROUND(AB107,0)),0))</f>
        <v>0</v>
      </c>
      <c r="AC124" s="1"/>
      <c r="AD124" s="1"/>
      <c r="AE124" s="20"/>
    </row>
    <row r="125" spans="2:31">
      <c r="B125" s="5"/>
      <c r="C125" s="5"/>
      <c r="D125" s="5"/>
      <c r="O125" s="1"/>
      <c r="P125" s="1"/>
      <c r="Q125" s="1"/>
      <c r="T125" s="21"/>
      <c r="U125" s="249" t="s">
        <v>242</v>
      </c>
      <c r="V125" s="249"/>
      <c r="W125" s="249"/>
      <c r="X125" s="249"/>
      <c r="Y125" s="249"/>
      <c r="Z125" s="1"/>
      <c r="AA125" s="21"/>
      <c r="AB125" s="144">
        <f>IFERROR(IF('Mon Entreprise'!K8&gt;Annexes!S18,0,IF(AB119&gt;=0.5,IF(OR(AB114="OUI",AND(AB115="OUI",AB113&gt;=Annexes!T5),AB116=TRUE),IF(AB122&gt;Annexes!S6,Annexes!S6,ROUND(AB122,0)),IF(AND(AB115="OUI",AB113&lt;Annexes!T5),0,0)),0)),0)</f>
        <v>0</v>
      </c>
      <c r="AC125" s="1"/>
      <c r="AD125" s="1"/>
      <c r="AE125" s="20"/>
    </row>
    <row r="126" spans="2:31">
      <c r="Q126" s="1"/>
      <c r="R126" s="1"/>
      <c r="S126" s="1"/>
      <c r="T126" s="21"/>
      <c r="U126" s="1"/>
      <c r="V126" s="1"/>
      <c r="W126" s="1"/>
      <c r="X126" s="1"/>
      <c r="Y126" s="1"/>
      <c r="Z126" s="1"/>
      <c r="AA126" s="1"/>
      <c r="AB126" s="144"/>
      <c r="AC126" s="1"/>
      <c r="AD126" s="1"/>
      <c r="AE126" s="20"/>
    </row>
    <row r="127" spans="2:31">
      <c r="B127" s="5"/>
      <c r="C127" s="5"/>
      <c r="D127" s="5"/>
      <c r="Q127" s="1"/>
      <c r="R127" s="1"/>
      <c r="S127" s="1"/>
      <c r="T127" s="22"/>
      <c r="U127" s="17"/>
      <c r="V127" s="17"/>
      <c r="W127" s="17"/>
      <c r="X127" s="17"/>
      <c r="Y127" s="17"/>
      <c r="Z127" s="17"/>
      <c r="AA127" s="17"/>
      <c r="AB127" s="17"/>
      <c r="AC127" s="17"/>
      <c r="AD127" s="17"/>
      <c r="AE127" s="4"/>
    </row>
    <row r="128" spans="2:31">
      <c r="B128" s="5"/>
      <c r="C128" s="5"/>
      <c r="D128" s="5"/>
      <c r="Q128" s="1"/>
      <c r="R128" s="1"/>
      <c r="S128" s="1"/>
      <c r="T128" s="1"/>
      <c r="U128" s="1"/>
      <c r="V128" s="1"/>
    </row>
    <row r="129" spans="18:22">
      <c r="R129" s="1"/>
      <c r="S129" s="1"/>
      <c r="T129" s="1"/>
      <c r="U129" s="1"/>
      <c r="V129" s="1"/>
    </row>
    <row r="130" spans="18:22">
      <c r="R130" s="1"/>
      <c r="S130" s="1"/>
      <c r="T130" s="1"/>
      <c r="U130" s="1"/>
      <c r="V130" s="1"/>
    </row>
    <row r="131" spans="18:22">
      <c r="T131" s="1"/>
      <c r="U131" s="1"/>
      <c r="V131" s="1"/>
    </row>
    <row r="132" spans="18:22">
      <c r="T132" s="1"/>
    </row>
  </sheetData>
  <sheetProtection algorithmName="SHA-512" hashValue="vz7pHPQglcFsu4fZiKFEUIEnvRCwEx9nzVkaTCj5yHobGd+vTfHWgKy4M1gJmWq/oF4WV/2n54pHj/u7XGfWKw==" saltValue="IV+SQcN90I0VsweHC6aIhg==" spinCount="100000" sheet="1" selectLockedCells="1" selectUnlockedCells="1"/>
  <mergeCells count="80">
    <mergeCell ref="U46:Y46"/>
    <mergeCell ref="U45:Y45"/>
    <mergeCell ref="U56:Y56"/>
    <mergeCell ref="U55:Y55"/>
    <mergeCell ref="U49:Y49"/>
    <mergeCell ref="U48:Y48"/>
    <mergeCell ref="U47:Y47"/>
    <mergeCell ref="U50:Y50"/>
    <mergeCell ref="U51:Y51"/>
    <mergeCell ref="T13:AE15"/>
    <mergeCell ref="T21:W21"/>
    <mergeCell ref="T20:W20"/>
    <mergeCell ref="U18:W18"/>
    <mergeCell ref="U44:Y44"/>
    <mergeCell ref="U43:Y43"/>
    <mergeCell ref="F3:O6"/>
    <mergeCell ref="C58:O59"/>
    <mergeCell ref="B8:O8"/>
    <mergeCell ref="B9:O10"/>
    <mergeCell ref="B13:O13"/>
    <mergeCell ref="C18:I18"/>
    <mergeCell ref="C32:H32"/>
    <mergeCell ref="C15:H15"/>
    <mergeCell ref="D24:O28"/>
    <mergeCell ref="D37:O41"/>
    <mergeCell ref="C44:O45"/>
    <mergeCell ref="D47:O48"/>
    <mergeCell ref="B11:O11"/>
    <mergeCell ref="D51:O54"/>
    <mergeCell ref="U118:Y118"/>
    <mergeCell ref="U119:Y119"/>
    <mergeCell ref="T113:Y113"/>
    <mergeCell ref="U114:Y114"/>
    <mergeCell ref="U115:Y115"/>
    <mergeCell ref="U116:Y116"/>
    <mergeCell ref="U117:Y117"/>
    <mergeCell ref="U57:Y57"/>
    <mergeCell ref="D113:O116"/>
    <mergeCell ref="U100:W100"/>
    <mergeCell ref="T102:W102"/>
    <mergeCell ref="T103:W103"/>
    <mergeCell ref="T104:W104"/>
    <mergeCell ref="D100:O103"/>
    <mergeCell ref="C106:O107"/>
    <mergeCell ref="E108:O109"/>
    <mergeCell ref="D60:O61"/>
    <mergeCell ref="D65:O68"/>
    <mergeCell ref="T75:W75"/>
    <mergeCell ref="B120:O120"/>
    <mergeCell ref="T76:W76"/>
    <mergeCell ref="T77:W77"/>
    <mergeCell ref="D77:O80"/>
    <mergeCell ref="T19:W19"/>
    <mergeCell ref="T39:W39"/>
    <mergeCell ref="T38:W38"/>
    <mergeCell ref="T37:W37"/>
    <mergeCell ref="U35:W35"/>
    <mergeCell ref="U24:Y24"/>
    <mergeCell ref="U25:Y25"/>
    <mergeCell ref="U26:Y26"/>
    <mergeCell ref="U27:Y27"/>
    <mergeCell ref="U42:Y42"/>
    <mergeCell ref="U74:W74"/>
    <mergeCell ref="T41:Y41"/>
    <mergeCell ref="U122:Y122"/>
    <mergeCell ref="U81:Y81"/>
    <mergeCell ref="C85:H85"/>
    <mergeCell ref="U124:Y124"/>
    <mergeCell ref="U125:Y125"/>
    <mergeCell ref="U106:Y106"/>
    <mergeCell ref="U107:Y107"/>
    <mergeCell ref="U108:Y108"/>
    <mergeCell ref="U109:Y109"/>
    <mergeCell ref="U120:Y120"/>
    <mergeCell ref="U121:Y121"/>
    <mergeCell ref="D90:O94"/>
    <mergeCell ref="C87:O87"/>
    <mergeCell ref="U82:Y82"/>
    <mergeCell ref="U83:Y83"/>
    <mergeCell ref="U84:Y84"/>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AC230"/>
  </sheetPr>
  <dimension ref="A3:AH132"/>
  <sheetViews>
    <sheetView showGridLines="0" workbookViewId="0">
      <selection activeCell="B2" sqref="B2"/>
    </sheetView>
  </sheetViews>
  <sheetFormatPr baseColWidth="10" defaultRowHeight="15"/>
  <cols>
    <col min="2" max="2" width="6" customWidth="1"/>
    <col min="3" max="3" width="4" customWidth="1"/>
    <col min="7" max="7" width="7.85546875" customWidth="1"/>
    <col min="8" max="8" width="3.42578125" customWidth="1"/>
    <col min="9" max="9" width="16.5703125" customWidth="1"/>
    <col min="10" max="10" width="4.42578125" customWidth="1"/>
    <col min="11" max="11" width="10.5703125" customWidth="1"/>
    <col min="13" max="14" width="4.85546875" customWidth="1"/>
    <col min="15" max="15" width="17.28515625" customWidth="1"/>
    <col min="19" max="19" width="7.5703125" customWidth="1"/>
    <col min="20" max="20" width="12.85546875" hidden="1" customWidth="1"/>
    <col min="21" max="23" width="11.42578125" hidden="1" customWidth="1"/>
    <col min="24" max="24" width="4.42578125" hidden="1" customWidth="1"/>
    <col min="25" max="25" width="15.140625" hidden="1" customWidth="1"/>
    <col min="26" max="26" width="3" hidden="1" customWidth="1"/>
    <col min="27" max="27" width="3.7109375" hidden="1" customWidth="1"/>
    <col min="28" max="28" width="12.85546875" hidden="1" customWidth="1"/>
    <col min="29" max="29" width="3.7109375" hidden="1" customWidth="1"/>
    <col min="30" max="30" width="3.85546875" hidden="1" customWidth="1"/>
    <col min="31" max="31" width="11.42578125" hidden="1" customWidth="1"/>
  </cols>
  <sheetData>
    <row r="3" spans="2:34" ht="15" customHeight="1">
      <c r="B3" s="5"/>
      <c r="C3" s="99"/>
      <c r="D3" s="99"/>
      <c r="E3" s="99"/>
      <c r="F3" s="311" t="s">
        <v>248</v>
      </c>
      <c r="G3" s="311"/>
      <c r="H3" s="311"/>
      <c r="I3" s="311"/>
      <c r="J3" s="311"/>
      <c r="K3" s="311"/>
      <c r="L3" s="311"/>
      <c r="M3" s="311"/>
      <c r="N3" s="311"/>
      <c r="O3" s="311"/>
      <c r="R3" s="131"/>
    </row>
    <row r="4" spans="2:34" ht="15" customHeight="1">
      <c r="B4" s="99"/>
      <c r="C4" s="99"/>
      <c r="D4" s="99"/>
      <c r="E4" s="99"/>
      <c r="F4" s="311"/>
      <c r="G4" s="311"/>
      <c r="H4" s="311"/>
      <c r="I4" s="311"/>
      <c r="J4" s="311"/>
      <c r="K4" s="311"/>
      <c r="L4" s="311"/>
      <c r="M4" s="311"/>
      <c r="N4" s="311"/>
      <c r="O4" s="311"/>
      <c r="P4" s="121"/>
    </row>
    <row r="5" spans="2:34" ht="15" customHeight="1">
      <c r="B5" s="99"/>
      <c r="C5" s="99"/>
      <c r="D5" s="99"/>
      <c r="E5" s="99"/>
      <c r="F5" s="311"/>
      <c r="G5" s="311"/>
      <c r="H5" s="311"/>
      <c r="I5" s="311"/>
      <c r="J5" s="311"/>
      <c r="K5" s="311"/>
      <c r="L5" s="311"/>
      <c r="M5" s="311"/>
      <c r="N5" s="311"/>
      <c r="O5" s="311"/>
    </row>
    <row r="6" spans="2:34" ht="15" customHeight="1">
      <c r="B6" s="99"/>
      <c r="C6" s="99"/>
      <c r="D6" s="99"/>
      <c r="E6" s="99"/>
      <c r="F6" s="311"/>
      <c r="G6" s="311"/>
      <c r="H6" s="311"/>
      <c r="I6" s="311"/>
      <c r="J6" s="311"/>
      <c r="K6" s="311"/>
      <c r="L6" s="311"/>
      <c r="M6" s="311"/>
      <c r="N6" s="311"/>
      <c r="O6" s="311"/>
    </row>
    <row r="7" spans="2:34">
      <c r="B7" s="147"/>
      <c r="C7" s="147"/>
      <c r="D7" s="147"/>
      <c r="E7" s="147"/>
      <c r="F7" s="147"/>
      <c r="G7" s="147"/>
      <c r="H7" s="147"/>
      <c r="I7" s="147"/>
      <c r="J7" s="147"/>
      <c r="K7" s="147"/>
      <c r="L7" s="147"/>
      <c r="M7" s="147"/>
      <c r="N7" s="147"/>
    </row>
    <row r="8" spans="2:34" ht="15.75" hidden="1">
      <c r="B8" s="290" t="s">
        <v>128</v>
      </c>
      <c r="C8" s="290"/>
      <c r="D8" s="290"/>
      <c r="E8" s="290"/>
      <c r="F8" s="290"/>
      <c r="G8" s="290"/>
      <c r="H8" s="290"/>
      <c r="I8" s="290"/>
      <c r="J8" s="290"/>
      <c r="K8" s="290"/>
      <c r="L8" s="290"/>
      <c r="M8" s="290"/>
      <c r="N8" s="290"/>
      <c r="O8" s="290"/>
    </row>
    <row r="9" spans="2:34" ht="15" hidden="1" customHeight="1">
      <c r="B9" s="291" t="s">
        <v>127</v>
      </c>
      <c r="C9" s="291"/>
      <c r="D9" s="291"/>
      <c r="E9" s="291"/>
      <c r="F9" s="291"/>
      <c r="G9" s="291"/>
      <c r="H9" s="291"/>
      <c r="I9" s="291"/>
      <c r="J9" s="291"/>
      <c r="K9" s="291"/>
      <c r="L9" s="291"/>
      <c r="M9" s="291"/>
      <c r="N9" s="291"/>
      <c r="O9" s="291"/>
    </row>
    <row r="10" spans="2:34" ht="15" hidden="1" customHeight="1">
      <c r="B10" s="291"/>
      <c r="C10" s="291"/>
      <c r="D10" s="291"/>
      <c r="E10" s="291"/>
      <c r="F10" s="291"/>
      <c r="G10" s="291"/>
      <c r="H10" s="291"/>
      <c r="I10" s="291"/>
      <c r="J10" s="291"/>
      <c r="K10" s="291"/>
      <c r="L10" s="291"/>
      <c r="M10" s="291"/>
      <c r="N10" s="291"/>
      <c r="O10" s="291"/>
    </row>
    <row r="11" spans="2:34" ht="15.75" hidden="1">
      <c r="B11" s="290" t="s">
        <v>220</v>
      </c>
      <c r="C11" s="290"/>
      <c r="D11" s="290"/>
      <c r="E11" s="290"/>
      <c r="F11" s="290"/>
      <c r="G11" s="290"/>
      <c r="H11" s="290"/>
      <c r="I11" s="290"/>
      <c r="J11" s="290"/>
      <c r="K11" s="290"/>
      <c r="L11" s="290"/>
      <c r="M11" s="290"/>
      <c r="N11" s="290"/>
      <c r="O11" s="290"/>
      <c r="P11" s="121"/>
      <c r="Q11" s="121"/>
      <c r="R11" s="121"/>
      <c r="S11" s="121"/>
    </row>
    <row r="12" spans="2:34">
      <c r="R12" t="s">
        <v>98</v>
      </c>
    </row>
    <row r="13" spans="2:34" hidden="1">
      <c r="B13" s="201" t="s">
        <v>224</v>
      </c>
      <c r="C13" s="201"/>
      <c r="D13" s="201"/>
      <c r="E13" s="201"/>
      <c r="F13" s="201"/>
      <c r="G13" s="201"/>
      <c r="H13" s="201"/>
      <c r="I13" s="201"/>
      <c r="J13" s="201"/>
      <c r="K13" s="201"/>
      <c r="L13" s="201"/>
      <c r="M13" s="201"/>
      <c r="N13" s="201"/>
      <c r="O13" s="201"/>
      <c r="S13" s="131"/>
      <c r="T13" s="274" t="s">
        <v>126</v>
      </c>
      <c r="U13" s="274"/>
      <c r="V13" s="274"/>
      <c r="W13" s="274"/>
      <c r="X13" s="274"/>
      <c r="Y13" s="274"/>
      <c r="Z13" s="274"/>
      <c r="AA13" s="274"/>
      <c r="AB13" s="274"/>
      <c r="AC13" s="274"/>
      <c r="AD13" s="274"/>
      <c r="AE13" s="274"/>
      <c r="AF13" s="1"/>
      <c r="AG13" s="1"/>
      <c r="AH13" s="1"/>
    </row>
    <row r="14" spans="2:34">
      <c r="S14" s="131"/>
      <c r="T14" s="274"/>
      <c r="U14" s="274"/>
      <c r="V14" s="274"/>
      <c r="W14" s="274"/>
      <c r="X14" s="274"/>
      <c r="Y14" s="274"/>
      <c r="Z14" s="274"/>
      <c r="AA14" s="274"/>
      <c r="AB14" s="274"/>
      <c r="AC14" s="274"/>
      <c r="AD14" s="274"/>
      <c r="AE14" s="274"/>
      <c r="AF14" s="1"/>
      <c r="AG14" s="1"/>
      <c r="AH14" s="1"/>
    </row>
    <row r="15" spans="2:34" ht="19.5" customHeight="1" thickBot="1">
      <c r="B15" s="81"/>
      <c r="C15" s="251" t="s">
        <v>112</v>
      </c>
      <c r="D15" s="251"/>
      <c r="E15" s="251"/>
      <c r="F15" s="251"/>
      <c r="G15" s="251"/>
      <c r="H15" s="251"/>
      <c r="I15" s="82"/>
      <c r="J15" s="81"/>
      <c r="K15" s="81"/>
      <c r="L15" s="81"/>
      <c r="M15" s="81"/>
      <c r="N15" s="81"/>
      <c r="O15" s="81"/>
      <c r="T15" s="274"/>
      <c r="U15" s="274"/>
      <c r="V15" s="274"/>
      <c r="W15" s="274"/>
      <c r="X15" s="274"/>
      <c r="Y15" s="274"/>
      <c r="Z15" s="274"/>
      <c r="AA15" s="274"/>
      <c r="AB15" s="274"/>
      <c r="AC15" s="274"/>
      <c r="AD15" s="274"/>
      <c r="AE15" s="274"/>
      <c r="AF15" s="1"/>
      <c r="AG15" s="1"/>
      <c r="AH15" s="1"/>
    </row>
    <row r="16" spans="2:34" ht="15" customHeight="1">
      <c r="B16" s="1"/>
      <c r="C16" s="134"/>
      <c r="D16" s="134"/>
      <c r="E16" s="134"/>
      <c r="F16" s="134"/>
      <c r="G16" s="134"/>
      <c r="H16" s="134"/>
      <c r="I16" s="55"/>
      <c r="J16" s="1"/>
      <c r="K16" s="1"/>
      <c r="L16" s="1"/>
      <c r="M16" s="1"/>
      <c r="N16" s="1"/>
      <c r="O16" s="1"/>
      <c r="S16" s="131"/>
      <c r="T16" s="185"/>
      <c r="U16" s="185"/>
      <c r="V16" s="185"/>
      <c r="W16" s="185"/>
      <c r="X16" s="185"/>
      <c r="Y16" s="185"/>
      <c r="Z16" s="185"/>
      <c r="AA16" s="185"/>
      <c r="AB16" s="185"/>
      <c r="AC16" s="185"/>
      <c r="AD16" s="185"/>
      <c r="AE16" s="185"/>
      <c r="AF16" s="1"/>
      <c r="AG16" s="1"/>
      <c r="AH16" s="1"/>
    </row>
    <row r="17" spans="2:34">
      <c r="B17" s="55"/>
      <c r="C17" s="51"/>
      <c r="D17" s="51"/>
      <c r="E17" s="51"/>
      <c r="F17" s="51"/>
      <c r="G17" s="51"/>
      <c r="H17" s="51"/>
      <c r="I17" s="55"/>
      <c r="J17" s="55"/>
      <c r="K17" s="55"/>
      <c r="L17" s="55"/>
      <c r="M17" s="55"/>
      <c r="N17" s="55"/>
      <c r="O17" s="55"/>
      <c r="P17" s="1"/>
      <c r="Q17" s="1"/>
      <c r="R17" s="1"/>
      <c r="S17" s="131"/>
      <c r="T17" s="23"/>
      <c r="U17" s="18"/>
      <c r="V17" s="18"/>
      <c r="W17" s="18"/>
      <c r="X17" s="18"/>
      <c r="Y17" s="18"/>
      <c r="Z17" s="18"/>
      <c r="AA17" s="18"/>
      <c r="AB17" s="18"/>
      <c r="AC17" s="18"/>
      <c r="AD17" s="18"/>
      <c r="AE17" s="19"/>
      <c r="AF17" s="1"/>
      <c r="AG17" s="1"/>
      <c r="AH17" s="1"/>
    </row>
    <row r="18" spans="2:34" ht="15" customHeight="1">
      <c r="B18" s="51"/>
      <c r="C18" s="241" t="s">
        <v>122</v>
      </c>
      <c r="D18" s="241"/>
      <c r="E18" s="241"/>
      <c r="F18" s="241"/>
      <c r="G18" s="241"/>
      <c r="H18" s="241"/>
      <c r="I18" s="241"/>
      <c r="J18" s="51"/>
      <c r="K18" s="51"/>
      <c r="L18" s="51"/>
      <c r="M18" s="51"/>
      <c r="N18" s="51"/>
      <c r="O18" s="51"/>
      <c r="S18" s="131"/>
      <c r="T18" s="33"/>
      <c r="U18" s="274" t="s">
        <v>113</v>
      </c>
      <c r="V18" s="274"/>
      <c r="W18" s="274"/>
      <c r="X18" s="1"/>
      <c r="Y18" s="185" t="s">
        <v>97</v>
      </c>
      <c r="Z18" s="185"/>
      <c r="AA18" s="155"/>
      <c r="AB18" s="185" t="s">
        <v>116</v>
      </c>
      <c r="AC18" s="185"/>
      <c r="AD18" s="155"/>
      <c r="AE18" s="34" t="s">
        <v>117</v>
      </c>
      <c r="AF18" s="1"/>
      <c r="AG18" s="1"/>
      <c r="AH18" s="1"/>
    </row>
    <row r="19" spans="2:34" ht="15" customHeight="1">
      <c r="B19" s="51"/>
      <c r="C19" s="78" t="s">
        <v>98</v>
      </c>
      <c r="D19" s="178" t="s">
        <v>186</v>
      </c>
      <c r="E19" s="178"/>
      <c r="F19" s="178"/>
      <c r="G19" s="178"/>
      <c r="H19" s="178"/>
      <c r="I19" s="178"/>
      <c r="J19" s="179"/>
      <c r="K19" s="179"/>
      <c r="L19" s="179"/>
      <c r="M19" s="51"/>
      <c r="N19" s="51"/>
      <c r="O19" s="51"/>
      <c r="S19" s="131"/>
      <c r="T19" s="262" t="s">
        <v>114</v>
      </c>
      <c r="U19" s="249"/>
      <c r="V19" s="249"/>
      <c r="W19" s="249"/>
      <c r="X19" s="1"/>
      <c r="Y19" s="29">
        <f>'Mon Entreprise'!I52</f>
        <v>0</v>
      </c>
      <c r="Z19" s="29"/>
      <c r="AA19" s="30"/>
      <c r="AB19" s="29">
        <f>IF('Mon Entreprise'!I52-'Mon Entreprise'!M52&lt;0,0,'Mon Entreprise'!I52-'Mon Entreprise'!M52)</f>
        <v>0</v>
      </c>
      <c r="AC19" s="1"/>
      <c r="AD19" s="21"/>
      <c r="AE19" s="35">
        <f>IFERROR(1-'Mon Entreprise'!M52/'Mon Entreprise'!I52,0)</f>
        <v>0</v>
      </c>
      <c r="AF19" s="1"/>
      <c r="AG19" s="1"/>
      <c r="AH19" s="1"/>
    </row>
    <row r="20" spans="2:34" ht="15" customHeight="1">
      <c r="B20" s="51"/>
      <c r="C20" s="78"/>
      <c r="D20" s="78" t="str">
        <f>"Nombre de jours de fermetures au mois de Septembre : "&amp;IF(Annexes!M5=FALSE,0,IF(Annexes!O5=1,0,Annexes!O5-1))&amp;" jour(s)"</f>
        <v>Nombre de jours de fermetures au mois de Septembre : 0 jour(s)</v>
      </c>
      <c r="E20" s="78"/>
      <c r="F20" s="78"/>
      <c r="G20" s="78"/>
      <c r="H20" s="78"/>
      <c r="I20" s="78"/>
      <c r="J20" s="51"/>
      <c r="K20" s="51"/>
      <c r="L20" s="51"/>
      <c r="M20" s="51"/>
      <c r="N20" s="51"/>
      <c r="O20" s="51"/>
      <c r="S20" s="131"/>
      <c r="T20" s="262" t="s">
        <v>118</v>
      </c>
      <c r="U20" s="249"/>
      <c r="V20" s="249"/>
      <c r="W20" s="249"/>
      <c r="X20" s="1"/>
      <c r="Y20" s="29">
        <f>'Mon Entreprise'!I44*(Annexes!O5-1)/360</f>
        <v>0</v>
      </c>
      <c r="Z20" s="29"/>
      <c r="AA20" s="30"/>
      <c r="AB20" s="29">
        <f>IF('Mon Entreprise'!I44*(Annexes!O5-1)/360-'Mon Entreprise'!M52&lt;0,0,'Mon Entreprise'!I44*(Annexes!O5-1)/360-'Mon Entreprise'!M52)</f>
        <v>0</v>
      </c>
      <c r="AC20" s="12"/>
      <c r="AD20" s="21"/>
      <c r="AE20" s="35">
        <f>IFERROR(1-'Mon Entreprise'!M52/('Mon Entreprise'!I44*(Annexes!O5-1)/360),0)</f>
        <v>0</v>
      </c>
      <c r="AF20" s="1"/>
      <c r="AG20" s="1"/>
      <c r="AH20" s="1"/>
    </row>
    <row r="21" spans="2:34" ht="15" customHeight="1">
      <c r="B21" s="51"/>
      <c r="C21" s="78"/>
      <c r="D21" s="78"/>
      <c r="E21" s="178" t="str">
        <f>IF(Annexes!M5=FALSE,"Vous n'avez pas coché la case Fermeture administrative de Septembre à Octobre",IF(Annexes!O5=1,"Vous n'avez pas de jour de fermeture en septembre",""))</f>
        <v>Vous n'avez pas coché la case Fermeture administrative de Septembre à Octobre</v>
      </c>
      <c r="F21" s="122"/>
      <c r="G21" s="122"/>
      <c r="H21" s="122"/>
      <c r="I21" s="122"/>
      <c r="J21" s="122"/>
      <c r="K21" s="122"/>
      <c r="L21" s="122"/>
      <c r="M21" s="51"/>
      <c r="N21" s="51"/>
      <c r="O21" s="51"/>
      <c r="S21" s="131"/>
      <c r="T21" s="262" t="s">
        <v>115</v>
      </c>
      <c r="U21" s="249"/>
      <c r="V21" s="249"/>
      <c r="W21" s="249"/>
      <c r="X21" s="1"/>
      <c r="Y21" s="31" t="str">
        <f>IFERROR(IF(AND('Mon Entreprise'!K8&gt;=Annexes!S16,'Mon Entreprise'!K8&lt;=Annexes!U18),'Mon Entreprise'!I85,IF('Mon Entreprise'!K8&gt;=Annexes!U14,'Mon Entreprise'!I78,"NC")),"NC")</f>
        <v>NC</v>
      </c>
      <c r="Z21" s="31"/>
      <c r="AA21" s="30"/>
      <c r="AB21" s="31" t="str">
        <f>IFERROR(IF(AND('Mon Entreprise'!K8&gt;=Annexes!S16,'Mon Entreprise'!K8&lt;=Annexes!U18),IF('Mon Entreprise'!I85-'Mon Entreprise'!I55&lt;0,0,'Mon Entreprise'!I85-'Mon Entreprise'!I55),IF('Mon Entreprise'!K8&gt;=Annexes!U14,IF('Mon Entreprise'!I78-'Mon Entreprise'!I55&lt;0,0,'Mon Entreprise'!I78-'Mon Entreprise'!I55),"NC")),"NC")</f>
        <v>NC</v>
      </c>
      <c r="AC21" s="181"/>
      <c r="AD21" s="21"/>
      <c r="AE21" s="36" t="str">
        <f>IFERROR(IF(AND('Mon Entreprise'!K8&gt;=Annexes!S16,'Mon Entreprise'!K8&lt;=Annexes!S18),1-'Mon Entreprise'!I55/'Mon Entreprise'!I85,IF('Mon Entreprise'!K8&gt;=Annexes!U14,1-'Mon Entreprise'!I55/'Mon Entreprise'!I78,"NC")),"NC")</f>
        <v>NC</v>
      </c>
      <c r="AF21" s="1"/>
      <c r="AG21" s="1"/>
      <c r="AH21" s="1"/>
    </row>
    <row r="22" spans="2:34" ht="15" customHeight="1">
      <c r="B22" s="51"/>
      <c r="C22" s="78"/>
      <c r="D22" s="78" t="str">
        <f>IFERROR(IF('Mon Entreprise'!K8&gt;=Annexes!U14,"Le CA de référence est celui de la création, soit une perte de "&amp;ROUND(AB21,0)&amp;" €"&amp;" ==&gt; "&amp;ROUND(AE21*100,0)&amp;" %",IF(AB19&gt;=AB20,"Le CA de référence est celui de Septembre 2019, soit une perte de "&amp;ROUND(AB19,0)&amp;" €"&amp;" ==&gt; "&amp;ROUND(AE19*100,0)&amp;" %","Le CA de référence est celui de de l'exercice 2019, soit une perte de "&amp;ROUND(AB20,0)&amp;" €"&amp;" ==&gt; "&amp;ROUND(AE20*100,0)&amp;" %")),"")</f>
        <v>Le CA de référence est celui de Septembre 2019, soit une perte de 0 € ==&gt; 0 %</v>
      </c>
      <c r="E22" s="78"/>
      <c r="F22" s="78"/>
      <c r="G22" s="78"/>
      <c r="H22" s="78"/>
      <c r="I22" s="78"/>
      <c r="J22" s="51"/>
      <c r="K22" s="51"/>
      <c r="L22" s="51"/>
      <c r="M22" s="51"/>
      <c r="N22" s="51"/>
      <c r="O22" s="51"/>
      <c r="S22" s="131"/>
      <c r="T22" s="21"/>
      <c r="U22" s="1"/>
      <c r="V22" s="1"/>
      <c r="W22" s="1"/>
      <c r="X22" s="1"/>
      <c r="Y22" s="1"/>
      <c r="Z22" s="1"/>
      <c r="AA22" s="1"/>
      <c r="AB22" s="1"/>
      <c r="AC22" s="1"/>
      <c r="AD22" s="1"/>
      <c r="AE22" s="20"/>
      <c r="AF22" s="1"/>
      <c r="AG22" s="1"/>
      <c r="AH22" s="1"/>
    </row>
    <row r="23" spans="2:34" ht="15" customHeight="1" thickBot="1">
      <c r="B23" s="51"/>
      <c r="C23" s="51"/>
      <c r="D23" s="51"/>
      <c r="E23" s="51"/>
      <c r="F23" s="51"/>
      <c r="G23" s="51"/>
      <c r="H23" s="51"/>
      <c r="I23" s="51"/>
      <c r="J23" s="51"/>
      <c r="K23" s="51"/>
      <c r="L23" s="51"/>
      <c r="M23" s="51"/>
      <c r="N23" s="51"/>
      <c r="O23" s="51"/>
      <c r="S23" s="131"/>
      <c r="T23" s="21"/>
      <c r="U23" s="1"/>
      <c r="V23" s="1"/>
      <c r="W23" s="1"/>
      <c r="X23" s="1"/>
      <c r="Y23" s="1"/>
      <c r="Z23" s="1"/>
      <c r="AA23" s="1"/>
      <c r="AB23" s="1"/>
      <c r="AC23" s="1"/>
      <c r="AD23" s="1"/>
      <c r="AE23" s="20"/>
      <c r="AF23" s="1"/>
      <c r="AG23" s="1"/>
      <c r="AH23" s="1"/>
    </row>
    <row r="24" spans="2:34">
      <c r="B24" s="51"/>
      <c r="C24" s="51"/>
      <c r="D24" s="303" t="str">
        <f>IFERROR(IF('Mon Entreprise'!K8="","Vous ne pouvez pas bénéficier du fonds de solidarité pour le mois de Septembre 2020",IF(AB24="NON","Vous avez débuté votre activité après le 31 Août 2020, vous ne pouvez donc pas bénéficier de cette aide pour le mois de Septembre",IF(AB26="Non","Vous n'avez pas eu de fermeture administrative en septembre, vous ne pouvez donc pas bénéficier de cette aide pour le mois de Septembre",IF(AB27&gt;Annexes!S7*(Annexes!O5-1),"Dans votre cas, l'aide est Plafonnée sur 333 €/jour, soit "&amp;Annexes!S7*(Annexes!O5-1)&amp;" €, pour le mois de septembre","Vous pouvez bénéficier, au titre de cette aide, d'un montant "&amp;ROUND(IF(AB27&lt;0,0,AB27),0)&amp;" € pour le mois de septembre")))),"Vous n'avez pas indiqué de chiffre d'affaires de référence")</f>
        <v>Vous ne pouvez pas bénéficier du fonds de solidarité pour le mois de Septembre 2020</v>
      </c>
      <c r="E24" s="304"/>
      <c r="F24" s="304"/>
      <c r="G24" s="304"/>
      <c r="H24" s="304"/>
      <c r="I24" s="304"/>
      <c r="J24" s="304"/>
      <c r="K24" s="304"/>
      <c r="L24" s="304"/>
      <c r="M24" s="304"/>
      <c r="N24" s="304"/>
      <c r="O24" s="305"/>
      <c r="S24" s="131"/>
      <c r="T24" s="21"/>
      <c r="U24" s="250" t="s">
        <v>230</v>
      </c>
      <c r="V24" s="250"/>
      <c r="W24" s="250"/>
      <c r="X24" s="250"/>
      <c r="Y24" s="250"/>
      <c r="Z24" s="180"/>
      <c r="AA24" s="21"/>
      <c r="AB24" s="181" t="str">
        <f>IF('Mon Entreprise'!K8&lt;=Annexes!U18,"Oui","Non")</f>
        <v>Oui</v>
      </c>
      <c r="AC24" s="1"/>
      <c r="AD24" s="1"/>
      <c r="AE24" s="20"/>
      <c r="AF24" s="1"/>
      <c r="AG24" s="1"/>
      <c r="AH24" s="1"/>
    </row>
    <row r="25" spans="2:34" ht="15" customHeight="1">
      <c r="B25" s="1"/>
      <c r="C25" s="1"/>
      <c r="D25" s="306"/>
      <c r="E25" s="267"/>
      <c r="F25" s="267"/>
      <c r="G25" s="267"/>
      <c r="H25" s="267"/>
      <c r="I25" s="267"/>
      <c r="J25" s="267"/>
      <c r="K25" s="267"/>
      <c r="L25" s="267"/>
      <c r="M25" s="267"/>
      <c r="N25" s="267"/>
      <c r="O25" s="307"/>
      <c r="P25" s="1"/>
      <c r="Q25" s="1"/>
      <c r="R25" s="1"/>
      <c r="S25" s="131"/>
      <c r="T25" s="21"/>
      <c r="U25" s="249" t="s">
        <v>239</v>
      </c>
      <c r="V25" s="249"/>
      <c r="W25" s="249"/>
      <c r="X25" s="249"/>
      <c r="Y25" s="249"/>
      <c r="Z25" s="181"/>
      <c r="AA25" s="21"/>
      <c r="AB25" s="181">
        <f>IF(Annexes!M5=FALSE,0,IF(Annexes!O5=1,0,Annexes!O5-1))</f>
        <v>0</v>
      </c>
      <c r="AC25" s="1"/>
      <c r="AD25" s="1"/>
      <c r="AE25" s="20"/>
      <c r="AF25" s="1"/>
      <c r="AG25" s="1"/>
      <c r="AH25" s="1"/>
    </row>
    <row r="26" spans="2:34" ht="15" hidden="1" customHeight="1">
      <c r="B26" s="1"/>
      <c r="C26" s="1"/>
      <c r="D26" s="306"/>
      <c r="E26" s="267"/>
      <c r="F26" s="267"/>
      <c r="G26" s="267"/>
      <c r="H26" s="267"/>
      <c r="I26" s="267"/>
      <c r="J26" s="267"/>
      <c r="K26" s="267"/>
      <c r="L26" s="267"/>
      <c r="M26" s="267"/>
      <c r="N26" s="267"/>
      <c r="O26" s="307"/>
      <c r="P26" s="1"/>
      <c r="Q26" s="1"/>
      <c r="R26" s="1"/>
      <c r="S26" s="1"/>
      <c r="T26" s="21"/>
      <c r="U26" s="249" t="s">
        <v>240</v>
      </c>
      <c r="V26" s="249"/>
      <c r="W26" s="249"/>
      <c r="X26" s="249"/>
      <c r="Y26" s="249"/>
      <c r="Z26" s="181"/>
      <c r="AA26" s="21"/>
      <c r="AB26" s="181" t="str">
        <f>IF(Annexes!M5=FALSE,"Non",IF(Annexes!O5=1,"Non","Oui"))</f>
        <v>Non</v>
      </c>
      <c r="AC26" s="1"/>
      <c r="AD26" s="1"/>
      <c r="AE26" s="20"/>
      <c r="AF26" s="1"/>
      <c r="AG26" s="1"/>
      <c r="AH26" s="1"/>
    </row>
    <row r="27" spans="2:34" ht="15" customHeight="1">
      <c r="B27" s="1"/>
      <c r="C27" s="1"/>
      <c r="D27" s="306"/>
      <c r="E27" s="267"/>
      <c r="F27" s="267"/>
      <c r="G27" s="267"/>
      <c r="H27" s="267"/>
      <c r="I27" s="267"/>
      <c r="J27" s="267"/>
      <c r="K27" s="267"/>
      <c r="L27" s="267"/>
      <c r="M27" s="267"/>
      <c r="N27" s="267"/>
      <c r="O27" s="307"/>
      <c r="P27" s="1"/>
      <c r="Q27" s="1"/>
      <c r="R27" s="1"/>
      <c r="S27" s="1"/>
      <c r="T27" s="21"/>
      <c r="U27" s="249" t="s">
        <v>241</v>
      </c>
      <c r="V27" s="249"/>
      <c r="W27" s="249"/>
      <c r="X27" s="249"/>
      <c r="Y27" s="249"/>
      <c r="Z27" s="159"/>
      <c r="AA27" s="21"/>
      <c r="AB27" s="181">
        <f>IF('Mon Entreprise'!K8&gt;=Annexes!U14,AB21,IF(AE19&gt;=AE20,AB19,AB20))</f>
        <v>0</v>
      </c>
      <c r="AC27" s="1"/>
      <c r="AD27" s="1"/>
      <c r="AE27" s="20"/>
      <c r="AF27" s="1"/>
      <c r="AG27" s="1"/>
      <c r="AH27" s="1"/>
    </row>
    <row r="28" spans="2:34" ht="15.75" thickBot="1">
      <c r="B28" s="1"/>
      <c r="C28" s="1"/>
      <c r="D28" s="308"/>
      <c r="E28" s="309"/>
      <c r="F28" s="309"/>
      <c r="G28" s="309"/>
      <c r="H28" s="309"/>
      <c r="I28" s="309"/>
      <c r="J28" s="309"/>
      <c r="K28" s="309"/>
      <c r="L28" s="309"/>
      <c r="M28" s="309"/>
      <c r="N28" s="309"/>
      <c r="O28" s="310"/>
      <c r="P28" s="1"/>
      <c r="Q28" s="1"/>
      <c r="R28" s="1"/>
      <c r="S28" s="1"/>
      <c r="T28" s="21"/>
      <c r="U28" s="1"/>
      <c r="V28" s="1"/>
      <c r="W28" s="1"/>
      <c r="X28" s="1"/>
      <c r="Y28" s="1"/>
      <c r="Z28" s="1"/>
      <c r="AA28" s="1"/>
      <c r="AB28" s="1"/>
      <c r="AC28" s="1"/>
      <c r="AD28" s="1"/>
      <c r="AE28" s="20"/>
      <c r="AF28" s="1"/>
      <c r="AG28" s="1"/>
      <c r="AH28" s="1"/>
    </row>
    <row r="29" spans="2:34">
      <c r="B29" s="1"/>
      <c r="C29" s="1"/>
      <c r="D29" s="73" t="s">
        <v>244</v>
      </c>
      <c r="E29" s="1"/>
      <c r="F29" s="1"/>
      <c r="G29" s="1"/>
      <c r="H29" s="1"/>
      <c r="I29" s="1"/>
      <c r="J29" s="1"/>
      <c r="K29" s="1"/>
      <c r="L29" s="5"/>
      <c r="M29" s="1"/>
      <c r="N29" s="1"/>
      <c r="O29" s="1"/>
      <c r="P29" s="1"/>
      <c r="Q29" s="1"/>
      <c r="R29" s="1"/>
      <c r="S29" s="1"/>
      <c r="T29" s="21"/>
      <c r="U29" s="1"/>
      <c r="V29" s="1"/>
      <c r="W29" s="1"/>
      <c r="X29" s="1"/>
      <c r="Y29" s="1"/>
      <c r="Z29" s="1"/>
      <c r="AA29" s="1"/>
      <c r="AB29" s="1"/>
      <c r="AC29" s="1"/>
      <c r="AD29" s="1"/>
      <c r="AE29" s="20"/>
      <c r="AF29" s="1"/>
      <c r="AG29" s="1"/>
      <c r="AH29" s="1"/>
    </row>
    <row r="30" spans="2:34">
      <c r="B30" s="14"/>
      <c r="C30" s="14"/>
      <c r="D30" s="14"/>
      <c r="K30" s="8"/>
      <c r="O30" s="1"/>
      <c r="P30" s="12"/>
      <c r="Q30" s="12"/>
      <c r="R30" s="12"/>
      <c r="S30" s="1"/>
      <c r="T30" s="21"/>
      <c r="U30" s="1"/>
      <c r="V30" s="1"/>
      <c r="W30" s="1"/>
      <c r="X30" s="1"/>
      <c r="Y30" s="1"/>
      <c r="Z30" s="1"/>
      <c r="AA30" s="1"/>
      <c r="AB30" s="1"/>
      <c r="AC30" s="1"/>
      <c r="AD30" s="1"/>
      <c r="AE30" s="20"/>
      <c r="AF30" s="1"/>
      <c r="AG30" s="1"/>
      <c r="AH30" s="1"/>
    </row>
    <row r="31" spans="2:34" ht="15" customHeight="1">
      <c r="B31" s="5"/>
      <c r="C31" s="5"/>
      <c r="D31" s="5"/>
      <c r="O31" s="1"/>
      <c r="P31" s="1"/>
      <c r="Q31" s="1"/>
      <c r="R31" s="1"/>
      <c r="S31" s="1"/>
      <c r="T31" s="21"/>
      <c r="U31" s="1"/>
      <c r="V31" s="1"/>
      <c r="W31" s="1"/>
      <c r="X31" s="1"/>
      <c r="Y31" s="1"/>
      <c r="Z31" s="1"/>
      <c r="AA31" s="1"/>
      <c r="AB31" s="1"/>
      <c r="AC31" s="1"/>
      <c r="AD31" s="1"/>
      <c r="AE31" s="20"/>
      <c r="AF31" s="1"/>
      <c r="AG31" s="1"/>
      <c r="AH31" s="1"/>
    </row>
    <row r="32" spans="2:34" ht="16.5" thickBot="1">
      <c r="B32" s="82"/>
      <c r="C32" s="251" t="s">
        <v>125</v>
      </c>
      <c r="D32" s="251"/>
      <c r="E32" s="251"/>
      <c r="F32" s="251"/>
      <c r="G32" s="251"/>
      <c r="H32" s="251"/>
      <c r="I32" s="82"/>
      <c r="J32" s="82"/>
      <c r="K32" s="82"/>
      <c r="L32" s="82"/>
      <c r="M32" s="82"/>
      <c r="N32" s="82"/>
      <c r="O32" s="82"/>
      <c r="Q32" s="121"/>
      <c r="S32" s="1"/>
      <c r="T32" s="22"/>
      <c r="U32" s="17"/>
      <c r="V32" s="17"/>
      <c r="W32" s="17"/>
      <c r="X32" s="17"/>
      <c r="Y32" s="17"/>
      <c r="Z32" s="17"/>
      <c r="AA32" s="17"/>
      <c r="AB32" s="17"/>
      <c r="AC32" s="17"/>
      <c r="AD32" s="17"/>
      <c r="AE32" s="4"/>
      <c r="AF32" s="1"/>
      <c r="AG32" s="1"/>
      <c r="AH32" s="1"/>
    </row>
    <row r="33" spans="2:34">
      <c r="B33" s="55"/>
      <c r="C33" s="51"/>
      <c r="D33" s="51"/>
      <c r="E33" s="51"/>
      <c r="F33" s="51"/>
      <c r="G33" s="51"/>
      <c r="H33" s="136"/>
      <c r="I33" s="55"/>
      <c r="J33" s="55"/>
      <c r="K33" s="55"/>
      <c r="L33" s="55"/>
      <c r="M33" s="55"/>
      <c r="N33" s="55"/>
      <c r="O33" s="55"/>
      <c r="P33" s="1"/>
      <c r="Q33" s="1"/>
      <c r="R33" s="1"/>
      <c r="S33" s="1"/>
      <c r="T33" s="23"/>
      <c r="U33" s="18"/>
      <c r="V33" s="18"/>
      <c r="W33" s="18"/>
      <c r="X33" s="18"/>
      <c r="Y33" s="18"/>
      <c r="Z33" s="18"/>
      <c r="AA33" s="18"/>
      <c r="AB33" s="18"/>
      <c r="AC33" s="18"/>
      <c r="AD33" s="18"/>
      <c r="AE33" s="19"/>
      <c r="AF33" s="1"/>
      <c r="AG33" s="1"/>
      <c r="AH33" s="1"/>
    </row>
    <row r="34" spans="2:34">
      <c r="B34" s="51"/>
      <c r="C34" s="78" t="s">
        <v>119</v>
      </c>
      <c r="D34" s="51"/>
      <c r="E34" s="51"/>
      <c r="F34" s="51"/>
      <c r="G34" s="51"/>
      <c r="H34" s="51"/>
      <c r="I34" s="51"/>
      <c r="J34" s="51"/>
      <c r="K34" s="51"/>
      <c r="L34" s="51"/>
      <c r="M34" s="51"/>
      <c r="N34" s="51"/>
      <c r="O34" s="51"/>
      <c r="T34" s="33"/>
      <c r="U34" s="1"/>
      <c r="V34" s="1"/>
      <c r="W34" s="1"/>
      <c r="X34" s="1"/>
      <c r="Y34" s="1"/>
      <c r="Z34" s="1"/>
      <c r="AA34" s="1"/>
      <c r="AB34" s="1"/>
      <c r="AC34" s="1"/>
      <c r="AD34" s="1"/>
      <c r="AE34" s="20"/>
    </row>
    <row r="35" spans="2:34">
      <c r="B35" s="51"/>
      <c r="C35" s="78"/>
      <c r="D35" s="148" t="s">
        <v>120</v>
      </c>
      <c r="E35" s="51"/>
      <c r="F35" s="51"/>
      <c r="G35" s="51"/>
      <c r="H35" s="51"/>
      <c r="I35" s="51"/>
      <c r="J35" s="51"/>
      <c r="K35" s="51"/>
      <c r="L35" s="51"/>
      <c r="M35" s="51"/>
      <c r="N35" s="51"/>
      <c r="O35" s="51"/>
      <c r="T35" s="33"/>
      <c r="U35" s="274" t="s">
        <v>113</v>
      </c>
      <c r="V35" s="274"/>
      <c r="W35" s="274"/>
      <c r="X35" s="1"/>
      <c r="Y35" s="185" t="s">
        <v>97</v>
      </c>
      <c r="Z35" s="185"/>
      <c r="AA35" s="185"/>
      <c r="AB35" s="185" t="s">
        <v>116</v>
      </c>
      <c r="AC35" s="185"/>
      <c r="AD35" s="185"/>
      <c r="AE35" s="34" t="s">
        <v>117</v>
      </c>
    </row>
    <row r="36" spans="2:34">
      <c r="B36" s="51"/>
      <c r="C36" s="78"/>
      <c r="D36" s="51"/>
      <c r="E36" s="51"/>
      <c r="F36" s="51"/>
      <c r="G36" s="51"/>
      <c r="H36" s="51"/>
      <c r="I36" s="51"/>
      <c r="J36" s="51"/>
      <c r="K36" s="51"/>
      <c r="L36" s="51"/>
      <c r="M36" s="51"/>
      <c r="N36" s="51"/>
      <c r="O36" s="51"/>
      <c r="T36" s="33"/>
      <c r="U36" s="185"/>
      <c r="V36" s="185"/>
      <c r="W36" s="185"/>
      <c r="X36" s="1"/>
      <c r="Y36" s="185"/>
      <c r="Z36" s="185"/>
      <c r="AA36" s="185"/>
      <c r="AB36" s="185"/>
      <c r="AC36" s="185"/>
      <c r="AD36" s="185"/>
      <c r="AE36" s="34"/>
    </row>
    <row r="37" spans="2:34" hidden="1">
      <c r="B37" s="51"/>
      <c r="C37" s="51"/>
      <c r="D37" s="292" t="str">
        <f>IFERROR(IF(AND(AB55=0,AB56=0,AB57=0),"Vous ne pouvez pas bénéficier du fonds de solidarité pour le mois d'Octobre 2020",IF(AND(AB55&gt;AB56,AB55&gt;AB57),"Votre entreprise peut bénéficier d'une aide de "&amp;AB55&amp;" €, au titre des entreprises domiciliées dans des zones ayant subi des mesures de couvre-feu avec une perte de CA d'au-moins 50 % du CA en Octobre",IF(AB56&gt;AB57,"Votre entreprise peut bénéficier d'une aide de "&amp;AB56&amp;" €, au titre des entreprises domiciliées hors des zones ayant subi des mesures de couvre-feu avec une perte de CA d'au-moins "&amp;IF(AB47&gt;=0.7,70,50)&amp;" % du CA en Octobre","Votre entreprise peut bénéficier d'une aide de "&amp;AB57&amp;" €, au titre d'une fermeture Administrative au mois d'octobre"))),"Vous n'avez pas indiqué de chiffre d'affaires de référence")</f>
        <v>Vous ne pouvez pas bénéficier du fonds de solidarité pour le mois d'Octobre 2020</v>
      </c>
      <c r="E37" s="293"/>
      <c r="F37" s="293"/>
      <c r="G37" s="293"/>
      <c r="H37" s="293"/>
      <c r="I37" s="293"/>
      <c r="J37" s="293"/>
      <c r="K37" s="293"/>
      <c r="L37" s="293"/>
      <c r="M37" s="293"/>
      <c r="N37" s="293"/>
      <c r="O37" s="294"/>
      <c r="T37" s="262" t="s">
        <v>121</v>
      </c>
      <c r="U37" s="249"/>
      <c r="V37" s="249"/>
      <c r="W37" s="249"/>
      <c r="X37" s="1"/>
      <c r="Y37" s="12">
        <f>'Mon Entreprise'!I58</f>
        <v>0</v>
      </c>
      <c r="Z37" s="29"/>
      <c r="AA37" s="30"/>
      <c r="AB37" s="12">
        <f>IF('Mon Entreprise'!I58-'Mon Entreprise'!M58&lt;0,0,'Mon Entreprise'!I58-'Mon Entreprise'!M58)</f>
        <v>0</v>
      </c>
      <c r="AC37" s="1"/>
      <c r="AD37" s="21"/>
      <c r="AE37" s="35">
        <f>IFERROR(1-'Mon Entreprise'!M58/'Mon Entreprise'!I58,0)</f>
        <v>0</v>
      </c>
    </row>
    <row r="38" spans="2:34" ht="15" hidden="1" customHeight="1">
      <c r="D38" s="295"/>
      <c r="E38" s="256"/>
      <c r="F38" s="256"/>
      <c r="G38" s="256"/>
      <c r="H38" s="256"/>
      <c r="I38" s="256"/>
      <c r="J38" s="256"/>
      <c r="K38" s="256"/>
      <c r="L38" s="256"/>
      <c r="M38" s="256"/>
      <c r="N38" s="256"/>
      <c r="O38" s="296"/>
      <c r="T38" s="262" t="s">
        <v>118</v>
      </c>
      <c r="U38" s="249"/>
      <c r="V38" s="249"/>
      <c r="W38" s="249"/>
      <c r="X38" s="1"/>
      <c r="Y38" s="12">
        <f>'Mon Entreprise'!I46</f>
        <v>0</v>
      </c>
      <c r="Z38" s="29"/>
      <c r="AA38" s="30"/>
      <c r="AB38" s="12">
        <f>IF('Mon Entreprise'!I46-'Mon Entreprise'!M58&lt;0,0,'Mon Entreprise'!I46-'Mon Entreprise'!M58)</f>
        <v>0</v>
      </c>
      <c r="AC38" s="12"/>
      <c r="AD38" s="21"/>
      <c r="AE38" s="35">
        <f>IFERROR(1-'Mon Entreprise'!M58/'Mon Entreprise'!I46,0)</f>
        <v>0</v>
      </c>
    </row>
    <row r="39" spans="2:34" ht="15" hidden="1" customHeight="1">
      <c r="C39" s="126"/>
      <c r="D39" s="295"/>
      <c r="E39" s="256"/>
      <c r="F39" s="256"/>
      <c r="G39" s="256"/>
      <c r="H39" s="256"/>
      <c r="I39" s="256"/>
      <c r="J39" s="256"/>
      <c r="K39" s="256"/>
      <c r="L39" s="256"/>
      <c r="M39" s="256"/>
      <c r="N39" s="256"/>
      <c r="O39" s="296"/>
      <c r="Q39" s="121"/>
      <c r="R39" s="121"/>
      <c r="S39" s="121"/>
      <c r="T39" s="272" t="s">
        <v>115</v>
      </c>
      <c r="U39" s="273"/>
      <c r="V39" s="273"/>
      <c r="W39" s="273"/>
      <c r="X39" s="168"/>
      <c r="Y39" s="169" t="str">
        <f>IF('Mon Entreprise'!I77="","NC",'Mon Entreprise'!I77)</f>
        <v>NC</v>
      </c>
      <c r="Z39" s="170"/>
      <c r="AA39" s="171"/>
      <c r="AB39" s="172" t="str">
        <f>IFERROR(IF('Mon Entreprise'!I77-'Mon Entreprise'!M58&lt;0,0,'Mon Entreprise'!I77-'Mon Entreprise'!M58),"NC")</f>
        <v>NC</v>
      </c>
      <c r="AC39" s="184"/>
      <c r="AD39" s="174"/>
      <c r="AE39" s="175" t="str">
        <f>IFERROR(1-'Mon Entreprise'!M58/'Mon Entreprise'!I77,"NC")</f>
        <v>NC</v>
      </c>
      <c r="AF39" s="121"/>
    </row>
    <row r="40" spans="2:34" ht="15" hidden="1" customHeight="1">
      <c r="C40" s="126"/>
      <c r="D40" s="295"/>
      <c r="E40" s="256"/>
      <c r="F40" s="256"/>
      <c r="G40" s="256"/>
      <c r="H40" s="256"/>
      <c r="I40" s="256"/>
      <c r="J40" s="256"/>
      <c r="K40" s="256"/>
      <c r="L40" s="256"/>
      <c r="M40" s="256"/>
      <c r="N40" s="256"/>
      <c r="O40" s="296"/>
      <c r="T40" s="21"/>
      <c r="U40" s="1"/>
      <c r="V40" s="1"/>
      <c r="W40" s="1"/>
      <c r="X40" s="1"/>
      <c r="Y40" s="1"/>
      <c r="Z40" s="1"/>
      <c r="AA40" s="1"/>
      <c r="AB40" s="1"/>
      <c r="AC40" s="1"/>
      <c r="AD40" s="1"/>
      <c r="AE40" s="20"/>
    </row>
    <row r="41" spans="2:34" ht="15.75" hidden="1" customHeight="1" thickBot="1">
      <c r="C41" s="126"/>
      <c r="D41" s="297"/>
      <c r="E41" s="298"/>
      <c r="F41" s="298"/>
      <c r="G41" s="298"/>
      <c r="H41" s="298"/>
      <c r="I41" s="298"/>
      <c r="J41" s="298"/>
      <c r="K41" s="298"/>
      <c r="L41" s="298"/>
      <c r="M41" s="298"/>
      <c r="N41" s="298"/>
      <c r="O41" s="299"/>
      <c r="T41" s="275" t="s">
        <v>94</v>
      </c>
      <c r="U41" s="250"/>
      <c r="V41" s="250"/>
      <c r="W41" s="250"/>
      <c r="X41" s="250"/>
      <c r="Y41" s="250"/>
      <c r="Z41" s="153"/>
      <c r="AA41" s="21"/>
      <c r="AB41" s="27">
        <f>IFERROR(IF('Mon Entreprise'!K8&lt;Annexes!U19,IF(1-'Mon Entreprise'!M62/'Mon Entreprise'!I62&gt;=1-'Mon Entreprise'!M62/('Mon Entreprise'!I46*2),1-'Mon Entreprise'!M62/'Mon Entreprise'!I62,1-'Mon Entreprise'!M62/('Mon Entreprise'!I46*2)),1-'Mon Entreprise'!M62/'Mon Entreprise'!I70),0)</f>
        <v>0</v>
      </c>
      <c r="AC41" s="1"/>
      <c r="AD41" s="1"/>
      <c r="AE41" s="20"/>
    </row>
    <row r="42" spans="2:34" ht="18.75" customHeight="1">
      <c r="C42" s="102"/>
      <c r="D42" s="102"/>
      <c r="E42" s="102"/>
      <c r="F42" s="102"/>
      <c r="G42" s="102"/>
      <c r="H42" s="102"/>
      <c r="I42" s="102"/>
      <c r="J42" s="102"/>
      <c r="K42" s="102"/>
      <c r="L42" s="102"/>
      <c r="M42" s="102"/>
      <c r="N42" s="102"/>
      <c r="O42" s="102"/>
      <c r="T42" s="21"/>
      <c r="U42" s="250" t="s">
        <v>99</v>
      </c>
      <c r="V42" s="250"/>
      <c r="W42" s="250"/>
      <c r="X42" s="250"/>
      <c r="Y42" s="250"/>
      <c r="Z42" s="153"/>
      <c r="AA42" s="21"/>
      <c r="AB42" s="181" t="str">
        <f>IF((AND(Annexes!F5&gt;1,Annexes!F5&lt;61)),"OUI","NON")</f>
        <v>NON</v>
      </c>
      <c r="AC42" s="1"/>
      <c r="AD42" s="1"/>
      <c r="AE42" s="20"/>
    </row>
    <row r="43" spans="2:34" ht="15" customHeight="1">
      <c r="T43" s="21"/>
      <c r="U43" s="302" t="s">
        <v>100</v>
      </c>
      <c r="V43" s="302"/>
      <c r="W43" s="302"/>
      <c r="X43" s="302"/>
      <c r="Y43" s="302"/>
      <c r="Z43" s="154"/>
      <c r="AA43" s="21"/>
      <c r="AB43" s="181" t="str">
        <f>IF((AND(Annexes!F7&gt;1,Annexes!F7&lt;87)),"OUI","NON")</f>
        <v>NON</v>
      </c>
      <c r="AC43" s="1"/>
      <c r="AD43" s="1"/>
      <c r="AE43" s="20"/>
    </row>
    <row r="44" spans="2:34" ht="15" customHeight="1">
      <c r="C44" s="300" t="s">
        <v>228</v>
      </c>
      <c r="D44" s="300"/>
      <c r="E44" s="300"/>
      <c r="F44" s="300"/>
      <c r="G44" s="300"/>
      <c r="H44" s="300"/>
      <c r="I44" s="300"/>
      <c r="J44" s="300"/>
      <c r="K44" s="300"/>
      <c r="L44" s="300"/>
      <c r="M44" s="300"/>
      <c r="N44" s="300"/>
      <c r="O44" s="300"/>
      <c r="T44" s="21"/>
      <c r="U44" s="250" t="s">
        <v>229</v>
      </c>
      <c r="V44" s="250"/>
      <c r="W44" s="250"/>
      <c r="X44" s="250"/>
      <c r="Y44" s="250"/>
      <c r="Z44" s="153"/>
      <c r="AA44" s="21"/>
      <c r="AB44" s="181">
        <f>IF(AB42="OUI",Annexes!S6,IF(AND(AB43="OUI",AB41&gt;=0.8),Annexes!S6,Annexes!S5))</f>
        <v>1500</v>
      </c>
      <c r="AC44" s="1"/>
      <c r="AD44" s="1"/>
      <c r="AE44" s="20"/>
    </row>
    <row r="45" spans="2:34" ht="15" customHeight="1">
      <c r="C45" s="300"/>
      <c r="D45" s="300"/>
      <c r="E45" s="300"/>
      <c r="F45" s="300"/>
      <c r="G45" s="300"/>
      <c r="H45" s="300"/>
      <c r="I45" s="300"/>
      <c r="J45" s="300"/>
      <c r="K45" s="300"/>
      <c r="L45" s="300"/>
      <c r="M45" s="300"/>
      <c r="N45" s="300"/>
      <c r="O45" s="300"/>
      <c r="T45" s="21"/>
      <c r="U45" s="250" t="s">
        <v>230</v>
      </c>
      <c r="V45" s="250"/>
      <c r="W45" s="250"/>
      <c r="X45" s="250"/>
      <c r="Y45" s="250"/>
      <c r="Z45" s="153"/>
      <c r="AA45" s="21"/>
      <c r="AB45" s="181" t="str">
        <f>IF('Mon Entreprise'!K8&lt;=Annexes!S18,"Oui","Non")</f>
        <v>Oui</v>
      </c>
      <c r="AC45" s="1"/>
      <c r="AD45" s="1"/>
      <c r="AE45" s="20"/>
    </row>
    <row r="46" spans="2:34" ht="15" customHeight="1">
      <c r="C46" s="76"/>
      <c r="D46" s="148" t="str">
        <f>IF(Annexes!M9=FALSE,"- L'entreprise ne semble pas avoir été impactée par le couvre-Feu de 21H à 6H","- L'entreprise a été impactée par le couvre-Feu de 21H à 6H")</f>
        <v>- L'entreprise ne semble pas avoir été impactée par le couvre-Feu de 21H à 6H</v>
      </c>
      <c r="E46" s="77"/>
      <c r="F46" s="77"/>
      <c r="G46" s="77"/>
      <c r="H46" s="77"/>
      <c r="I46" s="77"/>
      <c r="J46" s="77"/>
      <c r="K46" s="77"/>
      <c r="L46" s="77"/>
      <c r="M46" s="148"/>
      <c r="N46" s="148"/>
      <c r="O46" s="148"/>
      <c r="T46" s="21"/>
      <c r="U46" s="250" t="s">
        <v>246</v>
      </c>
      <c r="V46" s="250"/>
      <c r="W46" s="250"/>
      <c r="X46" s="250"/>
      <c r="Y46" s="250"/>
      <c r="Z46" s="153"/>
      <c r="AA46" s="21"/>
      <c r="AB46" s="1">
        <f>IF('Mon Entreprise'!K8&gt;=Annexes!U14,AB39,IF(AB37&gt;=AB38,AB37,AB38))</f>
        <v>0</v>
      </c>
      <c r="AC46" s="1"/>
      <c r="AD46" s="1"/>
      <c r="AE46" s="20"/>
    </row>
    <row r="47" spans="2:34" ht="15" customHeight="1">
      <c r="C47" s="76"/>
      <c r="D47" s="301" t="str">
        <f>IF(AB42="OUI","- L'entreprise est mentionnée en annexe 1 (S1) du décret 2020-1328, et peut bénéficier à ce titre d'une aide plafonné à 10 000 €",IF(AND(AB43="OUI",AB41&gt;=0.8),"- L'entreprise est mentionnée en annexe 2 (S1 bis) du décret 2020-1328 ayant subi une perte de CA d'au moins 80 % entre le 15/03/2020 et le 15/05/2020, l'entreprise peut bénéficier à ce titre d'une aide plafonné à 10 000 €","- L'entreprise n'est pas mentionnée en annexe 1 (S1) ou en annexe 2 (S1 bis) du décret 2020-1328 et ayant subi une perte de CA d'au moins 80 % entre le 15/03/2020 et le 15/05/2020, l'entreprise peut donc bénéficier d'une aide plafonné à 1 500 €"))</f>
        <v>- L'entreprise n'est pas mentionnée en annexe 1 (S1) ou en annexe 2 (S1 bis) du décret 2020-1328 et ayant subi une perte de CA d'au moins 80 % entre le 15/03/2020 et le 15/05/2020, l'entreprise peut donc bénéficier d'une aide plafonné à 1 500 €</v>
      </c>
      <c r="E47" s="301"/>
      <c r="F47" s="301"/>
      <c r="G47" s="301"/>
      <c r="H47" s="301"/>
      <c r="I47" s="301"/>
      <c r="J47" s="301"/>
      <c r="K47" s="301"/>
      <c r="L47" s="301"/>
      <c r="M47" s="301"/>
      <c r="N47" s="301"/>
      <c r="O47" s="301"/>
      <c r="T47" s="21"/>
      <c r="U47" s="250" t="s">
        <v>247</v>
      </c>
      <c r="V47" s="250"/>
      <c r="W47" s="250"/>
      <c r="X47" s="250"/>
      <c r="Y47" s="250"/>
      <c r="Z47" s="153"/>
      <c r="AA47" s="21"/>
      <c r="AB47" s="13">
        <f>IF('Mon Entreprise'!K8&gt;=Annexes!U14,AE39,IF(AB37&gt;=AB38,AE37,AE38))</f>
        <v>0</v>
      </c>
      <c r="AC47" s="1"/>
      <c r="AD47" s="1"/>
      <c r="AE47" s="20"/>
    </row>
    <row r="48" spans="2:34" ht="15" customHeight="1">
      <c r="C48" s="76"/>
      <c r="D48" s="301"/>
      <c r="E48" s="301"/>
      <c r="F48" s="301"/>
      <c r="G48" s="301"/>
      <c r="H48" s="301"/>
      <c r="I48" s="301"/>
      <c r="J48" s="301"/>
      <c r="K48" s="301"/>
      <c r="L48" s="301"/>
      <c r="M48" s="301"/>
      <c r="N48" s="301"/>
      <c r="O48" s="301"/>
      <c r="T48" s="21"/>
      <c r="U48" s="250" t="s">
        <v>231</v>
      </c>
      <c r="V48" s="250"/>
      <c r="W48" s="250"/>
      <c r="X48" s="250"/>
      <c r="Y48" s="250"/>
      <c r="Z48" s="153"/>
      <c r="AA48" s="21"/>
      <c r="AB48" s="1">
        <f>IF(AB47&gt;=0.7,IF(AB42="OUI",Annexes!S6,IF(AND(AB43="OUI",AB41&gt;=0.8),Annexes!S6,0)),IF(AB47&gt;=0.5,IF(AB42="OUI",Annexes!S5,IF(AND(AB43="OUI",AB41&gt;=0.8),Annexes!S5,0)),0))</f>
        <v>0</v>
      </c>
      <c r="AC48" s="1"/>
      <c r="AD48" s="1"/>
      <c r="AE48" s="20"/>
    </row>
    <row r="49" spans="3:31" ht="15" customHeight="1">
      <c r="C49" s="76"/>
      <c r="D49" s="148" t="str">
        <f>IFERROR(IF('Mon Entreprise'!K8&gt;=Annexes!U14,"- Le CA de référence est celui de la création, soit une perte de "&amp;ROUND(AB39,0)&amp;" €"&amp;" ==&gt; "&amp;ROUND(AE39*100,0)&amp;" %",IF(AE37&gt;=AE38,"- Le CA de référence est celui de Octobre 2019, soit une perte de "&amp;ROUND(AB37,0)&amp;" €"&amp;" ==&gt; "&amp;ROUND(AE37*100,0)&amp;" %","- Le CA de référence est celui de de l'exercice 2019, soit une perte de "&amp;ROUND(AB38,0)&amp;" €"&amp;" ==&gt; "&amp;ROUND(AE38*100,0)&amp;" %")),"")</f>
        <v>- Le CA de référence est celui de Octobre 2019, soit une perte de 0 € ==&gt; 0 %</v>
      </c>
      <c r="E49" s="148"/>
      <c r="F49" s="148"/>
      <c r="G49" s="148"/>
      <c r="H49" s="148"/>
      <c r="I49" s="148"/>
      <c r="J49" s="148"/>
      <c r="K49" s="148"/>
      <c r="L49" s="148"/>
      <c r="M49" s="148"/>
      <c r="N49" s="148"/>
      <c r="O49" s="148"/>
      <c r="T49" s="21"/>
      <c r="U49" s="250" t="s">
        <v>232</v>
      </c>
      <c r="V49" s="250"/>
      <c r="W49" s="250"/>
      <c r="X49" s="250"/>
      <c r="Y49" s="250"/>
      <c r="Z49" s="153"/>
      <c r="AA49" s="21"/>
      <c r="AB49" s="1">
        <f>IF(AB47&gt;=0.7,IF(AB42="OUI",Annexes!T6,IF(AND(AB43="OUI",AB41&gt;=0.8),Annexes!T6,1)),1)</f>
        <v>1</v>
      </c>
      <c r="AC49" s="1"/>
      <c r="AD49" s="1"/>
      <c r="AE49" s="20"/>
    </row>
    <row r="50" spans="3:31" ht="15" customHeight="1" thickBot="1">
      <c r="C50" s="76"/>
      <c r="D50" s="76"/>
      <c r="E50" s="76"/>
      <c r="F50" s="76"/>
      <c r="G50" s="76"/>
      <c r="H50" s="76"/>
      <c r="I50" s="76"/>
      <c r="J50" s="76"/>
      <c r="K50" s="76"/>
      <c r="L50" s="76"/>
      <c r="M50" s="76"/>
      <c r="N50" s="76"/>
      <c r="O50" s="76"/>
      <c r="T50" s="21"/>
      <c r="U50" s="249" t="s">
        <v>241</v>
      </c>
      <c r="V50" s="249"/>
      <c r="W50" s="249"/>
      <c r="X50" s="249"/>
      <c r="Y50" s="249"/>
      <c r="Z50" s="1"/>
      <c r="AA50" s="21"/>
      <c r="AB50" s="1">
        <f>IF('Mon Entreprise'!K8&gt;=Annexes!U14,Y39,IF(AB37&gt;=AB38,Y37,Y38))</f>
        <v>0</v>
      </c>
      <c r="AC50" s="1"/>
      <c r="AD50" s="1"/>
      <c r="AE50" s="20"/>
    </row>
    <row r="51" spans="3:31" ht="15.75" customHeight="1">
      <c r="D51" s="276" t="str">
        <f>IFERROR(IF(AB45="Non","Vous avez débuté votre activité après le 30 Septembre 2020, vous ne pouvez donc pas bénéficier de cette aide",IF(Annexes!M9=FALSE,"L'entreprise ne semble pas avoir été impactée par le couvre-Feu de 21H à 6H",IF(AB47&gt;=0.5,IF(AB44=Annexes!S6,IF(AB46&gt;=Annexes!S6,"Dans votre cas, l'aide est Plafonnée, à "&amp;Annexes!S6&amp;" € pour le mois d'octobre",IF(AB46=0,"Vous n'avez pas indiqué de CA de référence","Vous pouvez bénéficier, au titre de cette aide, d'un montant "&amp;ROUND(AB46,0)&amp;" € pour le mois d'octobre")),IF(AB44=Annexes!S5,IF(AB46&gt;Annexes!S5,"Dans votre cas, l'aide est Plafonnée, à "&amp;Annexes!S5&amp;" € pour le mois d'octobre",IF(AB46=0,"Vous n'avez pas indiqué de CA de référence","Vous pouvez bénéficier, au titre de cette aide, d'un montant "&amp;ROUND(AB46,0)&amp;" € pour le mois d'octobre.")),)),"L'entreprise n'a pas subi de perte d'au-moins 50 % sur son CA d'Octobre 2020"))),"Vous n'avez pas indiqué de chiffre d'affaires de référence")</f>
        <v>L'entreprise ne semble pas avoir été impactée par le couvre-Feu de 21H à 6H</v>
      </c>
      <c r="E51" s="277"/>
      <c r="F51" s="277"/>
      <c r="G51" s="277"/>
      <c r="H51" s="277"/>
      <c r="I51" s="277"/>
      <c r="J51" s="277"/>
      <c r="K51" s="277"/>
      <c r="L51" s="277"/>
      <c r="M51" s="277"/>
      <c r="N51" s="277"/>
      <c r="O51" s="278"/>
      <c r="T51" s="21"/>
      <c r="U51" s="249" t="s">
        <v>249</v>
      </c>
      <c r="V51" s="249"/>
      <c r="W51" s="249"/>
      <c r="X51" s="249"/>
      <c r="Y51" s="249"/>
      <c r="Z51" s="1"/>
      <c r="AA51" s="21"/>
      <c r="AB51" s="1">
        <f>IF(AB46&gt;AB50*AB49,IF(AND(AB46&gt;1500,1500&gt;AB50*AB49),1500,IF(1500&gt;AB46,AB46,AB50*AB49)),AB46)</f>
        <v>0</v>
      </c>
      <c r="AC51" s="1"/>
      <c r="AD51" s="1"/>
      <c r="AE51" s="20"/>
    </row>
    <row r="52" spans="3:31" ht="15" customHeight="1">
      <c r="D52" s="279"/>
      <c r="E52" s="280"/>
      <c r="F52" s="280"/>
      <c r="G52" s="280"/>
      <c r="H52" s="280"/>
      <c r="I52" s="280"/>
      <c r="J52" s="280"/>
      <c r="K52" s="280"/>
      <c r="L52" s="280"/>
      <c r="M52" s="280"/>
      <c r="N52" s="280"/>
      <c r="O52" s="281"/>
      <c r="T52" s="21"/>
      <c r="U52" s="1"/>
      <c r="V52" s="1"/>
      <c r="W52" s="1"/>
      <c r="X52" s="1"/>
      <c r="Y52" s="1"/>
      <c r="Z52" s="1"/>
      <c r="AA52" s="1"/>
      <c r="AB52" s="1"/>
      <c r="AC52" s="1"/>
      <c r="AD52" s="1"/>
      <c r="AE52" s="20"/>
    </row>
    <row r="53" spans="3:31" ht="15" customHeight="1">
      <c r="D53" s="279"/>
      <c r="E53" s="280"/>
      <c r="F53" s="280"/>
      <c r="G53" s="280"/>
      <c r="H53" s="280"/>
      <c r="I53" s="280"/>
      <c r="J53" s="280"/>
      <c r="K53" s="280"/>
      <c r="L53" s="280"/>
      <c r="M53" s="280"/>
      <c r="N53" s="280"/>
      <c r="O53" s="281"/>
      <c r="T53" s="21"/>
      <c r="U53" s="1"/>
      <c r="V53" s="1"/>
      <c r="W53" s="1"/>
      <c r="X53" s="1"/>
      <c r="Y53" s="1"/>
      <c r="Z53" s="1"/>
      <c r="AA53" s="1"/>
      <c r="AB53" s="1"/>
      <c r="AC53" s="1"/>
      <c r="AD53" s="1"/>
      <c r="AE53" s="20"/>
    </row>
    <row r="54" spans="3:31" ht="15" customHeight="1" thickBot="1">
      <c r="D54" s="282"/>
      <c r="E54" s="283"/>
      <c r="F54" s="283"/>
      <c r="G54" s="283"/>
      <c r="H54" s="283"/>
      <c r="I54" s="283"/>
      <c r="J54" s="283"/>
      <c r="K54" s="283"/>
      <c r="L54" s="283"/>
      <c r="M54" s="283"/>
      <c r="N54" s="283"/>
      <c r="O54" s="284"/>
      <c r="T54" s="21"/>
      <c r="U54" s="1"/>
      <c r="V54" s="1"/>
      <c r="W54" s="1"/>
      <c r="X54" s="1"/>
      <c r="Y54" s="1"/>
      <c r="Z54" s="1"/>
      <c r="AA54" s="1"/>
      <c r="AB54" s="1"/>
      <c r="AC54" s="1"/>
      <c r="AD54" s="1"/>
      <c r="AE54" s="20"/>
    </row>
    <row r="55" spans="3:31" ht="15.75" customHeight="1">
      <c r="T55" s="21"/>
      <c r="U55" s="249" t="s">
        <v>235</v>
      </c>
      <c r="V55" s="249"/>
      <c r="W55" s="249"/>
      <c r="X55" s="249"/>
      <c r="Y55" s="249"/>
      <c r="Z55" s="1"/>
      <c r="AA55" s="21"/>
      <c r="AB55" s="1">
        <f>IFERROR(IF(AB45="Non",0,IF(Annexes!M9=FALSE,0,IF(AB47&gt;=0.5,IF(AB44=Annexes!S6,IF(AB46&gt;=Annexes!S6,Annexes!S6,IF(AB46=0,0,ROUND(AB46,0))),IF(AB44=Annexes!S5,IF(AB46&gt;Annexes!S5,Annexes!S5,IF(AB46=0,0,ROUND(AB46,0))),)),0))),0)</f>
        <v>0</v>
      </c>
      <c r="AC55" s="1"/>
      <c r="AD55" s="1"/>
      <c r="AE55" s="20"/>
    </row>
    <row r="56" spans="3:31" ht="15" customHeight="1">
      <c r="C56" s="100"/>
      <c r="D56" s="100"/>
      <c r="E56" s="100"/>
      <c r="F56" s="100"/>
      <c r="G56" s="100"/>
      <c r="H56" s="100"/>
      <c r="I56" s="100"/>
      <c r="J56" s="100"/>
      <c r="K56" s="100"/>
      <c r="L56" s="100"/>
      <c r="M56" s="100"/>
      <c r="N56" s="100"/>
      <c r="O56" s="100"/>
      <c r="T56" s="21"/>
      <c r="U56" s="249" t="s">
        <v>236</v>
      </c>
      <c r="V56" s="249"/>
      <c r="W56" s="249"/>
      <c r="X56" s="249"/>
      <c r="Y56" s="249"/>
      <c r="Z56" s="1"/>
      <c r="AA56" s="21"/>
      <c r="AB56" s="1">
        <f>IFERROR(IF(AB45="Non",0,IF(AB47&gt;=0.7,IF(AB42="OUI",IF(AB51&gt;=Annexes!S6,Annexes!S6,ROUND(AB51,0)),IF(AND(AB43="OUI",AB41&gt;=0.8),IF(AB51&gt;=Annexes!S6,Annexes!S6,ROUND(AB51,0)),0)),IF(AB47&gt;=0.5,IF(AB42="OUI",IF(AB46&gt;=Annexes!S5,Annexes!S5,ROUND(AB46,0)),IF(AND(AB43="OUI",AB41&gt;=0.8),IF(AB46&gt;=Annexes!S5,Annexes!S5,ROUND(AB46,0)),0)),0))),0)</f>
        <v>0</v>
      </c>
      <c r="AC56" s="1"/>
      <c r="AD56" s="1"/>
      <c r="AE56" s="20"/>
    </row>
    <row r="57" spans="3:31" ht="15" customHeight="1">
      <c r="T57" s="21"/>
      <c r="U57" s="249" t="s">
        <v>237</v>
      </c>
      <c r="V57" s="249"/>
      <c r="W57" s="249"/>
      <c r="X57" s="249"/>
      <c r="Y57" s="249"/>
      <c r="Z57" s="1"/>
      <c r="AA57" s="21"/>
      <c r="AB57" s="1">
        <f>IFERROR(IF(AB81="NON",0,IF(AB83="Non",0,IF(AB84&gt;Annexes!S7*(Annexes!Q5-1),IF(Annexes!S7*(Annexes!Q5-1)&gt;10000,10000,Annexes!S7*(Annexes!Q5-1)),ROUND(IF(AB84&gt;10000,10000,AB84),0)))),0)</f>
        <v>0</v>
      </c>
      <c r="AC57" s="1"/>
      <c r="AD57" s="1"/>
      <c r="AE57" s="20"/>
    </row>
    <row r="58" spans="3:31" ht="15" customHeight="1">
      <c r="C58" s="285" t="s">
        <v>238</v>
      </c>
      <c r="D58" s="285"/>
      <c r="E58" s="285"/>
      <c r="F58" s="285"/>
      <c r="G58" s="285"/>
      <c r="H58" s="285"/>
      <c r="I58" s="285"/>
      <c r="J58" s="285"/>
      <c r="K58" s="285"/>
      <c r="L58" s="285"/>
      <c r="M58" s="285"/>
      <c r="N58" s="285"/>
      <c r="O58" s="285"/>
      <c r="P58" s="51"/>
      <c r="T58" s="21"/>
      <c r="U58" s="1"/>
      <c r="V58" s="1"/>
      <c r="W58" s="1"/>
      <c r="X58" s="1"/>
      <c r="Y58" s="1"/>
      <c r="Z58" s="1"/>
      <c r="AA58" s="1"/>
      <c r="AB58" s="1"/>
      <c r="AC58" s="1"/>
      <c r="AD58" s="1"/>
      <c r="AE58" s="20"/>
    </row>
    <row r="59" spans="3:31" ht="15" customHeight="1">
      <c r="C59" s="285"/>
      <c r="D59" s="285"/>
      <c r="E59" s="285"/>
      <c r="F59" s="285"/>
      <c r="G59" s="285"/>
      <c r="H59" s="285"/>
      <c r="I59" s="285"/>
      <c r="J59" s="285"/>
      <c r="K59" s="285"/>
      <c r="L59" s="285"/>
      <c r="M59" s="285"/>
      <c r="N59" s="285"/>
      <c r="O59" s="285"/>
      <c r="P59" s="51"/>
      <c r="T59" s="21"/>
      <c r="U59" s="1"/>
      <c r="V59" s="1"/>
      <c r="W59" s="1"/>
      <c r="X59" s="1"/>
      <c r="Y59" s="1"/>
      <c r="Z59" s="1"/>
      <c r="AA59" s="1"/>
      <c r="AB59" s="1"/>
      <c r="AC59" s="1"/>
      <c r="AD59" s="1"/>
      <c r="AE59" s="20"/>
    </row>
    <row r="60" spans="3:31" ht="15" customHeight="1">
      <c r="C60" s="78"/>
      <c r="D60" s="286" t="str">
        <f>IF(AB47&gt;=0.7,IF(AB42="OUI","- L'entreprise a subi une perte d'au-moins 70 % en Octobre 2020 et est mentionnée en annexe 1 (S1) du décret 2020-1328, l'entreprise peut bénéficier à ce titre d'une aide plafonné à 10 000 €",IF(AND(AB43="OUI",AB41&gt;=0.8),"- L'entreprise a subi une perte d'au-moins 70 % en Octobre 2020 et est mentionnée en annexe 2 (S1 bis) du"&amp;" décret 2020-1328 ayant aussi eu une perte de CA d'au moins 80 % entre le 15/03/2020 et le 15/05/2020, l'entreprise peut bénéficier à ce titre d'une aide plafonné à 10 000 €","- L'entreprise n'est pas mentionnée en annexe 1 (S1) ou en annexe 2 (S1 bis) du décret 2020-1328 et ayant subi une perte de CA d'au moins 80 % entre le 15/03/2020 et le 15/05/2020, l'entreprise ne peut donc pas bénéficier de cette aide")),IF(AB47&gt;=0.5,IF(AB42="OUI","- L'entreprise a subi une perte d'au-moins 50 % en Octobre 2020 et est mentionnée en annexe 1 (S1) du décret 2020-1328, l'entreprise peut bénéficier à ce titre d'une aide plafonné à 1 500 €",IF(AND(AB43="OUI",AB41&gt;=0.8),"- L'entreprise a subi une perte d'au-moins 50 % en Octobre 2020 et est mentionnée en annexe 2 (S1 bis) du décret 2020-1328 ayant aussi eu une perte de CA d'au moins 80 % entre le 15/03/2020 et le 15/05/2020,"&amp;" l'entreprise peut bénéficier à ce titre d'une aide plafonné à 1 500 €","- L'entreprise n'est pas mentionnée en annexe 1 (S1) ou en annexe 2 (S1 bis) du décret 2020-1328 et ayant subi une perte de CA d'au moins 80 % entre le 15/03/2020 et le 15/05/2020, l'entreprise ne peut donc pas bénéficier de cette aide")),"- L'entreprise n'a pas subi de perte d'au-moins 50 % sur son CA d'Octobre 2020"))</f>
        <v>- L'entreprise n'a pas subi de perte d'au-moins 50 % sur son CA d'Octobre 2020</v>
      </c>
      <c r="E60" s="286"/>
      <c r="F60" s="286"/>
      <c r="G60" s="286"/>
      <c r="H60" s="286"/>
      <c r="I60" s="286"/>
      <c r="J60" s="286"/>
      <c r="K60" s="286"/>
      <c r="L60" s="286"/>
      <c r="M60" s="286"/>
      <c r="N60" s="286"/>
      <c r="O60" s="286"/>
      <c r="P60" s="51"/>
      <c r="T60" s="21"/>
      <c r="U60" s="1"/>
      <c r="V60" s="1"/>
      <c r="W60" s="1"/>
      <c r="X60" s="1"/>
      <c r="Y60" s="1"/>
      <c r="Z60" s="1"/>
      <c r="AA60" s="1"/>
      <c r="AB60" s="1"/>
      <c r="AC60" s="1"/>
      <c r="AD60" s="1"/>
      <c r="AE60" s="20"/>
    </row>
    <row r="61" spans="3:31" ht="15" customHeight="1">
      <c r="C61" s="78"/>
      <c r="D61" s="286"/>
      <c r="E61" s="286"/>
      <c r="F61" s="286"/>
      <c r="G61" s="286"/>
      <c r="H61" s="286"/>
      <c r="I61" s="286"/>
      <c r="J61" s="286"/>
      <c r="K61" s="286"/>
      <c r="L61" s="286"/>
      <c r="M61" s="286"/>
      <c r="N61" s="286"/>
      <c r="O61" s="286"/>
      <c r="P61" s="51"/>
      <c r="T61" s="183"/>
      <c r="U61" s="1"/>
      <c r="V61" s="1"/>
      <c r="W61" s="1"/>
      <c r="X61" s="1"/>
      <c r="Y61" s="1"/>
      <c r="Z61" s="1"/>
      <c r="AA61" s="1"/>
      <c r="AB61" s="1"/>
      <c r="AC61" s="1"/>
      <c r="AD61" s="1"/>
      <c r="AE61" s="20"/>
    </row>
    <row r="62" spans="3:31" ht="15" customHeight="1">
      <c r="C62" s="78"/>
      <c r="D62" s="78" t="str">
        <f>IFERROR(IF('Mon Entreprise'!K8&gt;=Annexes!U14,"- Le CA de référence est celui de la création, soit une perte de "&amp;ROUND(AB39,0)&amp;" €"&amp;" ==&gt; "&amp;ROUND(AE39*100,0)&amp;" %",IF(AB37&gt;=AB38,"- Le CA de référence est celui de Octobre 2019, soit une perte de "&amp;ROUND(AB37,0)&amp;" €"&amp;" ==&gt; "&amp;ROUND(AE37*100,0)&amp;" %","- Le CA de référence est celui de de l'exercice 2019, soit une perte de "&amp;ROUND(AB38,0)&amp;" €"&amp;" ==&gt; "&amp;ROUND(AE38*100,0)&amp;" %")),"")</f>
        <v>- Le CA de référence est celui de Octobre 2019, soit une perte de 0 € ==&gt; 0 %</v>
      </c>
      <c r="E62" s="78"/>
      <c r="F62" s="78"/>
      <c r="G62" s="78"/>
      <c r="H62" s="151"/>
      <c r="I62" s="78"/>
      <c r="J62" s="78"/>
      <c r="K62" s="78"/>
      <c r="M62" s="78"/>
      <c r="N62" s="78"/>
      <c r="O62" s="78"/>
      <c r="P62" s="51"/>
      <c r="T62" s="37"/>
      <c r="U62" s="1"/>
      <c r="V62" s="1"/>
      <c r="W62" s="1"/>
      <c r="X62" s="1"/>
      <c r="Y62" s="1"/>
      <c r="Z62" s="1"/>
      <c r="AA62" s="1"/>
      <c r="AB62" s="1"/>
      <c r="AC62" s="1"/>
      <c r="AD62" s="1"/>
      <c r="AE62" s="20"/>
    </row>
    <row r="63" spans="3:31" ht="15" customHeight="1">
      <c r="C63" s="78"/>
      <c r="D63" s="78" t="str">
        <f>IF(AB47&gt;=0.7,IF(AB42="OUI","- Le CA de référence est plafonné à 60 %, il est donc de "&amp;ROUND(AB50*0.6,0)&amp;" €",IF(AND(AB43="OUI",AB41&gt;=0.8),"- Le CA de référence est plafonné à 60 %, il est donc de "&amp;ROUND(AB50*0.6,0)&amp;" €","- Sans ticket modérateur")),"- Sans ticket modérateur")</f>
        <v>- Sans ticket modérateur</v>
      </c>
      <c r="E63" s="78"/>
      <c r="F63" s="78"/>
      <c r="G63" s="78"/>
      <c r="H63" s="78"/>
      <c r="I63" s="78"/>
      <c r="J63" s="78"/>
      <c r="K63" s="78"/>
      <c r="L63" s="78"/>
      <c r="M63" s="78"/>
      <c r="N63" s="78"/>
      <c r="O63" s="78"/>
      <c r="P63" s="51"/>
      <c r="T63" s="21"/>
      <c r="U63" s="1"/>
      <c r="V63" s="1"/>
      <c r="W63" s="1"/>
      <c r="X63" s="1"/>
      <c r="Y63" s="1"/>
      <c r="Z63" s="1"/>
      <c r="AA63" s="1"/>
      <c r="AB63" s="1"/>
      <c r="AC63" s="1"/>
      <c r="AD63" s="1"/>
      <c r="AE63" s="20"/>
    </row>
    <row r="64" spans="3:31" ht="15" customHeight="1" thickBot="1">
      <c r="T64" s="38"/>
      <c r="U64" s="1"/>
      <c r="V64" s="1"/>
      <c r="W64" s="1"/>
      <c r="X64" s="1"/>
      <c r="Y64" s="1"/>
      <c r="Z64" s="1"/>
      <c r="AA64" s="1"/>
      <c r="AB64" s="1"/>
      <c r="AC64" s="1"/>
      <c r="AD64" s="1"/>
      <c r="AE64" s="20"/>
    </row>
    <row r="65" spans="2:31" ht="15" customHeight="1">
      <c r="D65" s="276" t="str">
        <f>IFERROR(IF(AB45="Non","Vous avez débuté votre activité après le 30 Septembre 2020, vous ne pouvez donc pas bénéficier de cette aide",IF(AB47&gt;=0.7,IF(AB42="OUI",IF(AB51&gt;=Annexes!S6,"Dans votre cas, l'aide est Plafonnée, à "&amp;Annexes!S6&amp;" € pour le mois d'octobre","Vous pouvez bénéficier, au titre de cette aide, d'un montant "&amp;ROUND(AB51,0)&amp;" € pour le mois d'octobre"),IF(AND(AB43="OUI",AB41&gt;=0.8),IF(AB51&gt;=Annexes!S6,"Dans votre cas, l'aide est Plafonnée, à "&amp;Annexes!S6&amp;" € pour le mois d'octobre","Vous pouvez bénéficier, au titre de cette aide, d'un montant "&amp;ROUND(AB51,0)&amp;" € pour le mois d'octobre"),"L'entreprise n'est pas mentionnée en annexe 1 (S1) ou en annexe 2 (S1 bis) du décret 2020-1328 et ayant subi une perte de CA d'au moins 80 % entre le 15/03/2020 et le 15/05/2020, l'entreprise ne peut donc pas bénéficier de cette aide")),IF(AB47&gt;=0.5,IF(AB42="OUI",IF(AB46&gt;=Annexes!S5,"Dans votre cas, l'aide est Plafonnée, à "&amp;Annexes!S5&amp;" € pour le mois d'octobre","Vous pouvez bénéficier, au titre de cette aide, d'un montant "&amp;ROUND(AB46,0)&amp;" € pour le mois d'octobre"),IF(AND(AB43="OUI",AB41&gt;=0.8),IF(AB46&gt;=Annexes!S5,"Dans votre cas, l'aide est Plafonnée, à "&amp;Annexes!S5&amp;" € pour le mois d'octobre","Vous pouvez bénéficier, au titre de cette aide, d'un montant "&amp;ROUND(AB46,0)&amp;" € pour le mois d'octobre"),"L'entreprise n'est pas mentionnée en annexe 1 (S1) ou en annexe 2 (S1 bis) du décret 2020-1328 et ayant subi une perte de CA d'au moins 80 % entre le 15/03/2020 et le 15/05/2020, l'entreprise ne peut donc pas bénéficier de cette aide")),"L'entreprise n'a pas subi de perte d'au-moins 50 % sur son CA d'Octobre 2020"))),"Vous n'avez pas indiqué de chiffre d'affaires de référence")</f>
        <v>L'entreprise n'a pas subi de perte d'au-moins 50 % sur son CA d'Octobre 2020</v>
      </c>
      <c r="E65" s="277"/>
      <c r="F65" s="277"/>
      <c r="G65" s="277"/>
      <c r="H65" s="277"/>
      <c r="I65" s="277"/>
      <c r="J65" s="277"/>
      <c r="K65" s="277"/>
      <c r="L65" s="277"/>
      <c r="M65" s="277"/>
      <c r="N65" s="277"/>
      <c r="O65" s="278"/>
      <c r="T65" s="28"/>
      <c r="U65" s="49"/>
      <c r="V65" s="1"/>
      <c r="W65" s="1"/>
      <c r="X65" s="1"/>
      <c r="Y65" s="1"/>
      <c r="Z65" s="1"/>
      <c r="AA65" s="1"/>
      <c r="AB65" s="1"/>
      <c r="AC65" s="1"/>
      <c r="AD65" s="1"/>
      <c r="AE65" s="20"/>
    </row>
    <row r="66" spans="2:31" ht="15.75" customHeight="1">
      <c r="D66" s="279"/>
      <c r="E66" s="280"/>
      <c r="F66" s="280"/>
      <c r="G66" s="280"/>
      <c r="H66" s="280"/>
      <c r="I66" s="280"/>
      <c r="J66" s="280"/>
      <c r="K66" s="280"/>
      <c r="L66" s="280"/>
      <c r="M66" s="280"/>
      <c r="N66" s="280"/>
      <c r="O66" s="281"/>
      <c r="T66" s="21"/>
      <c r="U66" s="1"/>
      <c r="V66" s="1"/>
      <c r="W66" s="1"/>
      <c r="X66" s="1"/>
      <c r="Y66" s="1"/>
      <c r="Z66" s="1"/>
      <c r="AA66" s="1"/>
      <c r="AB66" s="1"/>
      <c r="AC66" s="1"/>
      <c r="AD66" s="1"/>
      <c r="AE66" s="20"/>
    </row>
    <row r="67" spans="2:31" ht="15.75" customHeight="1">
      <c r="D67" s="279"/>
      <c r="E67" s="280"/>
      <c r="F67" s="280"/>
      <c r="G67" s="280"/>
      <c r="H67" s="280"/>
      <c r="I67" s="280"/>
      <c r="J67" s="280"/>
      <c r="K67" s="280"/>
      <c r="L67" s="280"/>
      <c r="M67" s="280"/>
      <c r="N67" s="280"/>
      <c r="O67" s="281"/>
      <c r="T67" s="21"/>
      <c r="U67" s="1"/>
      <c r="V67" s="1"/>
      <c r="W67" s="1"/>
      <c r="X67" s="1"/>
      <c r="Y67" s="1"/>
      <c r="Z67" s="1"/>
      <c r="AA67" s="1"/>
      <c r="AB67" s="1"/>
      <c r="AC67" s="1"/>
      <c r="AD67" s="1"/>
      <c r="AE67" s="20"/>
    </row>
    <row r="68" spans="2:31" ht="15" customHeight="1" thickBot="1">
      <c r="D68" s="282"/>
      <c r="E68" s="283"/>
      <c r="F68" s="283"/>
      <c r="G68" s="283"/>
      <c r="H68" s="283"/>
      <c r="I68" s="283"/>
      <c r="J68" s="283"/>
      <c r="K68" s="283"/>
      <c r="L68" s="283"/>
      <c r="M68" s="283"/>
      <c r="N68" s="283"/>
      <c r="O68" s="284"/>
      <c r="T68" s="21"/>
      <c r="U68" s="1"/>
      <c r="V68" s="1"/>
      <c r="W68" s="1"/>
      <c r="X68" s="1"/>
      <c r="Y68" s="1"/>
      <c r="Z68" s="1"/>
      <c r="AA68" s="1"/>
      <c r="AB68" s="1"/>
      <c r="AC68" s="1"/>
      <c r="AD68" s="1"/>
      <c r="AE68" s="20"/>
    </row>
    <row r="69" spans="2:31" ht="15" customHeight="1">
      <c r="C69" s="1"/>
      <c r="D69" s="1"/>
      <c r="E69" s="1"/>
      <c r="F69" s="1"/>
      <c r="G69" s="1"/>
      <c r="H69" s="1"/>
      <c r="I69" s="1"/>
      <c r="J69" s="1"/>
      <c r="K69" s="1"/>
      <c r="L69" s="1"/>
      <c r="M69" s="1"/>
      <c r="N69" s="1"/>
      <c r="O69" s="1"/>
      <c r="T69" s="21"/>
      <c r="U69" s="1"/>
      <c r="V69" s="1"/>
      <c r="W69" s="1"/>
      <c r="X69" s="1"/>
      <c r="Y69" s="1"/>
      <c r="Z69" s="1"/>
      <c r="AA69" s="1"/>
      <c r="AB69" s="1"/>
      <c r="AC69" s="1"/>
      <c r="AD69" s="1"/>
      <c r="AE69" s="20"/>
    </row>
    <row r="70" spans="2:31" ht="15" customHeight="1">
      <c r="C70" s="156"/>
      <c r="D70" s="156"/>
      <c r="E70" s="17"/>
      <c r="F70" s="17"/>
      <c r="G70" s="17"/>
      <c r="H70" s="17"/>
      <c r="I70" s="17"/>
      <c r="J70" s="17"/>
      <c r="K70" s="17"/>
      <c r="L70" s="17"/>
      <c r="M70" s="157"/>
      <c r="N70" s="17"/>
      <c r="O70" s="17"/>
      <c r="T70" s="21"/>
      <c r="U70" s="1"/>
      <c r="V70" s="1"/>
      <c r="W70" s="1"/>
      <c r="X70" s="1"/>
      <c r="Y70" s="1"/>
      <c r="Z70" s="1"/>
      <c r="AA70" s="1"/>
      <c r="AB70" s="1"/>
      <c r="AC70" s="1"/>
      <c r="AD70" s="1"/>
      <c r="AE70" s="20"/>
    </row>
    <row r="71" spans="2:31" ht="15.75" customHeight="1">
      <c r="B71" s="5"/>
      <c r="C71" s="5"/>
      <c r="D71" s="5"/>
      <c r="P71" s="1"/>
      <c r="T71" s="21"/>
      <c r="U71" s="1"/>
      <c r="V71" s="1"/>
      <c r="W71" s="1"/>
      <c r="X71" s="1"/>
      <c r="Y71" s="1"/>
      <c r="Z71" s="1"/>
      <c r="AA71" s="1"/>
      <c r="AB71" s="1"/>
      <c r="AC71" s="1"/>
      <c r="AD71" s="1"/>
      <c r="AE71" s="20"/>
    </row>
    <row r="72" spans="2:31" ht="15" customHeight="1">
      <c r="B72" s="76"/>
      <c r="C72" s="148" t="s">
        <v>216</v>
      </c>
      <c r="D72" s="148"/>
      <c r="E72" s="78"/>
      <c r="F72" s="78"/>
      <c r="G72" s="78"/>
      <c r="H72" s="78"/>
      <c r="I72" s="78"/>
      <c r="J72" s="78"/>
      <c r="K72" s="78"/>
      <c r="L72" s="178"/>
      <c r="M72" s="78"/>
      <c r="N72" s="78"/>
      <c r="O72" s="78"/>
      <c r="P72" s="55"/>
      <c r="T72" s="21"/>
      <c r="U72" s="1"/>
      <c r="V72" s="1"/>
      <c r="W72" s="1"/>
      <c r="X72" s="1"/>
      <c r="Y72" s="1"/>
      <c r="Z72" s="1"/>
      <c r="AA72" s="1"/>
      <c r="AB72" s="1"/>
      <c r="AC72" s="1"/>
      <c r="AD72" s="1"/>
      <c r="AE72" s="20"/>
    </row>
    <row r="73" spans="2:31" ht="15" customHeight="1">
      <c r="B73" s="51"/>
      <c r="C73" s="78"/>
      <c r="D73" s="78" t="str">
        <f>"- Nombre de jours de fermetures au mois d'octobre : "&amp;IF(Annexes!M5=FALSE,0,IF(Annexes!Q5=1,0,Annexes!Q5-1))&amp;" jour(s)"</f>
        <v>- Nombre de jours de fermetures au mois d'octobre : 0 jour(s)</v>
      </c>
      <c r="E73" s="78"/>
      <c r="F73" s="78"/>
      <c r="G73" s="78"/>
      <c r="H73" s="78"/>
      <c r="I73" s="78"/>
      <c r="J73" s="78"/>
      <c r="K73" s="78"/>
      <c r="L73" s="78"/>
      <c r="M73" s="78"/>
      <c r="N73" s="78"/>
      <c r="O73" s="78"/>
      <c r="P73" s="55"/>
      <c r="Q73" s="55"/>
      <c r="R73" s="1"/>
      <c r="S73" s="1"/>
      <c r="T73" s="21"/>
      <c r="U73" s="1"/>
      <c r="V73" s="1"/>
      <c r="W73" s="1"/>
      <c r="X73" s="1"/>
      <c r="Y73" s="1"/>
      <c r="Z73" s="1"/>
      <c r="AA73" s="1"/>
      <c r="AB73" s="1"/>
      <c r="AC73" s="1"/>
      <c r="AD73" s="1"/>
      <c r="AE73" s="20"/>
    </row>
    <row r="74" spans="2:31" ht="15" customHeight="1">
      <c r="B74" s="76"/>
      <c r="C74" s="148"/>
      <c r="D74" s="148"/>
      <c r="E74" s="78" t="str">
        <f>IF(Annexes!M5=FALSE,"Vous n'avez pas coché la case Fermeture administrative de Septembre à Octobre",IF(Annexes!Q5=1,"Vous n'avez pas de jour de fermeture en Octobre",""))</f>
        <v>Vous n'avez pas coché la case Fermeture administrative de Septembre à Octobre</v>
      </c>
      <c r="F74" s="78"/>
      <c r="G74" s="78"/>
      <c r="H74" s="78"/>
      <c r="I74" s="78"/>
      <c r="J74" s="78"/>
      <c r="K74" s="78"/>
      <c r="L74" s="78"/>
      <c r="M74" s="78"/>
      <c r="N74" s="78"/>
      <c r="O74" s="78"/>
      <c r="P74" s="79"/>
      <c r="Q74" s="55"/>
      <c r="R74" s="55"/>
      <c r="S74" s="1"/>
      <c r="T74" s="33"/>
      <c r="U74" s="274" t="s">
        <v>113</v>
      </c>
      <c r="V74" s="274"/>
      <c r="W74" s="274"/>
      <c r="X74" s="1"/>
      <c r="Y74" s="185" t="s">
        <v>97</v>
      </c>
      <c r="Z74" s="185"/>
      <c r="AA74" s="185"/>
      <c r="AB74" s="185" t="s">
        <v>116</v>
      </c>
      <c r="AC74" s="185"/>
      <c r="AD74" s="185"/>
      <c r="AE74" s="34" t="s">
        <v>117</v>
      </c>
    </row>
    <row r="75" spans="2:31" ht="15" customHeight="1">
      <c r="B75" s="80"/>
      <c r="C75" s="152"/>
      <c r="D75" s="152" t="str">
        <f>IFERROR(IF('Mon Entreprise'!K8&gt;=Annexes!U14,"- Le CA de référence est celui de la création, soit une perte de "&amp;ROUND(AB77,0)&amp;" €"&amp;" ==&gt; "&amp;ROUND(AE77*100,0)&amp;" %",IF(AB75&gt;=AB76,"- Le CA de référence est celui d'Octobre 2019, soit une perte de "&amp;ROUND(AB75,0)&amp;" €"&amp;" ==&gt; "&amp;ROUND(AE75*100,0)&amp;" %","- Le CA de référence est celui de de l'exercice 2019, soit une perte de "&amp;ROUND(AB76,0)&amp;" €"&amp;" ==&gt; "&amp;ROUND(AE76*100,0)&amp;" %")),"")</f>
        <v>- Le CA de référence est celui d'Octobre 2019, soit une perte de 0 € ==&gt; 0 %</v>
      </c>
      <c r="E75" s="78"/>
      <c r="F75" s="78"/>
      <c r="G75" s="78"/>
      <c r="H75" s="78"/>
      <c r="I75" s="78"/>
      <c r="J75" s="78"/>
      <c r="K75" s="78"/>
      <c r="L75" s="78"/>
      <c r="M75" s="78"/>
      <c r="N75" s="78"/>
      <c r="O75" s="78"/>
      <c r="P75" s="51"/>
      <c r="Q75" s="55"/>
      <c r="R75" s="55"/>
      <c r="S75" s="1"/>
      <c r="T75" s="262" t="s">
        <v>123</v>
      </c>
      <c r="U75" s="249"/>
      <c r="V75" s="249"/>
      <c r="W75" s="249"/>
      <c r="X75" s="1"/>
      <c r="Y75" s="12">
        <f>'Mon Entreprise'!M55</f>
        <v>0</v>
      </c>
      <c r="Z75" s="29"/>
      <c r="AA75" s="30"/>
      <c r="AB75" s="12">
        <f>IF('Mon Entreprise'!I55-'Mon Entreprise'!M55&lt;0,0,'Mon Entreprise'!I55-'Mon Entreprise'!M55)</f>
        <v>0</v>
      </c>
      <c r="AC75" s="1"/>
      <c r="AD75" s="21"/>
      <c r="AE75" s="35">
        <f>IFERROR(1-'Mon Entreprise'!M55/'Mon Entreprise'!I55,0)</f>
        <v>0</v>
      </c>
    </row>
    <row r="76" spans="2:31" ht="15" customHeight="1" thickBot="1">
      <c r="C76" s="5"/>
      <c r="D76" s="5"/>
      <c r="Q76" s="79"/>
      <c r="R76" s="55"/>
      <c r="S76" s="1"/>
      <c r="T76" s="262" t="s">
        <v>118</v>
      </c>
      <c r="U76" s="249"/>
      <c r="V76" s="249"/>
      <c r="W76" s="249"/>
      <c r="X76" s="1"/>
      <c r="Y76" s="12">
        <f>'Mon Entreprise'!I44*(Annexes!O5-1)/360</f>
        <v>0</v>
      </c>
      <c r="Z76" s="29"/>
      <c r="AA76" s="30"/>
      <c r="AB76" s="12">
        <f>IF('Mon Entreprise'!I44*(Annexes!Q5-1)/360-'Mon Entreprise'!M55&lt;0,0,'Mon Entreprise'!I44*(Annexes!Q5-1)/360-'Mon Entreprise'!M55)</f>
        <v>0</v>
      </c>
      <c r="AC76" s="12"/>
      <c r="AD76" s="21"/>
      <c r="AE76" s="35">
        <f>IFERROR(1-'Mon Entreprise'!M55/('Mon Entreprise'!I44*(Annexes!Q5-1)/360),0)</f>
        <v>0</v>
      </c>
    </row>
    <row r="77" spans="2:31" ht="15" customHeight="1">
      <c r="B77" s="5"/>
      <c r="C77" s="5"/>
      <c r="D77" s="263" t="str">
        <f>IFERROR(IF(AB81="NON","Vous avez débuté votre activité après le 30 Septembre 2020, vous ne pouvez donc pas bénéficier de cette aide",IF(AB83="Non","Vous n'avez pas eu de fermeture administrative en octobre, vous ne pouvez donc pas bénéficier de cette aide",IF(AB84&gt;Annexes!S7*(Annexes!Q5-1),"Dans votre cas, l'aide est Plafonnée sur 333 €/jour, soit "&amp;IF(Annexes!S7*(Annexes!Q5-1)&gt;10000,10000,Annexes!S7*(Annexes!Q5-1))&amp;" €, pour le mois d'octobre","Vous pouvez bénéficier, au titre de cette aide, d'un montant "&amp;ROUND(IF(AB84&gt;10000,10000,AB84),0)&amp;" € pour le mois d'octobre"))),"Vous n'avez pas indiqué de chiffre d'affaires de référence")</f>
        <v>Vous n'avez pas eu de fermeture administrative en octobre, vous ne pouvez donc pas bénéficier de cette aide</v>
      </c>
      <c r="E77" s="264"/>
      <c r="F77" s="264"/>
      <c r="G77" s="264"/>
      <c r="H77" s="264"/>
      <c r="I77" s="264"/>
      <c r="J77" s="264"/>
      <c r="K77" s="264"/>
      <c r="L77" s="264"/>
      <c r="M77" s="264"/>
      <c r="N77" s="264"/>
      <c r="O77" s="265"/>
      <c r="Q77" s="51"/>
      <c r="R77" s="79"/>
      <c r="T77" s="262" t="s">
        <v>115</v>
      </c>
      <c r="U77" s="249"/>
      <c r="V77" s="249"/>
      <c r="W77" s="249"/>
      <c r="X77" s="1"/>
      <c r="Y77" s="26" t="str">
        <f>IFERROR(IF('Mon Entreprise'!K8&gt;=Annexes!U14,'Mon Entreprise'!I79,"NC"),"NC")</f>
        <v>NC</v>
      </c>
      <c r="Z77" s="31"/>
      <c r="AA77" s="30"/>
      <c r="AB77" s="48" t="str">
        <f>IFERROR(IF('Mon Entreprise'!K8&gt;=Annexes!U14,IF('Mon Entreprise'!I79-'Mon Entreprise'!M55&lt;0,0,'Mon Entreprise'!I79-'Mon Entreprise'!M55),"NC"),"NC")</f>
        <v>NC</v>
      </c>
      <c r="AC77" s="181"/>
      <c r="AD77" s="21"/>
      <c r="AE77" s="36" t="str">
        <f>IFERROR(IF('Mon Entreprise'!K8&gt;=Annexes!U14,1-'Mon Entreprise'!M55/'Mon Entreprise'!I79,"NC"),"NC")</f>
        <v>NC</v>
      </c>
    </row>
    <row r="78" spans="2:31" ht="15" customHeight="1">
      <c r="B78" s="5"/>
      <c r="C78" s="5"/>
      <c r="D78" s="266"/>
      <c r="E78" s="267"/>
      <c r="F78" s="267"/>
      <c r="G78" s="267"/>
      <c r="H78" s="267"/>
      <c r="I78" s="267"/>
      <c r="J78" s="267"/>
      <c r="K78" s="267"/>
      <c r="L78" s="267"/>
      <c r="M78" s="267"/>
      <c r="N78" s="267"/>
      <c r="O78" s="268"/>
      <c r="Q78" s="51"/>
      <c r="R78" s="79"/>
      <c r="T78" s="183"/>
      <c r="U78" s="181"/>
      <c r="V78" s="181"/>
      <c r="W78" s="181"/>
      <c r="X78" s="1"/>
      <c r="Y78" s="26"/>
      <c r="Z78" s="31"/>
      <c r="AA78" s="29"/>
      <c r="AB78" s="48"/>
      <c r="AC78" s="181"/>
      <c r="AD78" s="1"/>
      <c r="AE78" s="36"/>
    </row>
    <row r="79" spans="2:31" ht="15" customHeight="1">
      <c r="B79" s="5"/>
      <c r="C79" s="5"/>
      <c r="D79" s="266"/>
      <c r="E79" s="267"/>
      <c r="F79" s="267"/>
      <c r="G79" s="267"/>
      <c r="H79" s="267"/>
      <c r="I79" s="267"/>
      <c r="J79" s="267"/>
      <c r="K79" s="267"/>
      <c r="L79" s="267"/>
      <c r="M79" s="267"/>
      <c r="N79" s="267"/>
      <c r="O79" s="268"/>
      <c r="R79" s="51"/>
      <c r="T79" s="21"/>
      <c r="U79" s="1"/>
      <c r="V79" s="1"/>
      <c r="W79" s="1"/>
      <c r="X79" s="1"/>
      <c r="Y79" s="1"/>
      <c r="Z79" s="1"/>
      <c r="AA79" s="1"/>
      <c r="AB79" s="1"/>
      <c r="AC79" s="1"/>
      <c r="AD79" s="1"/>
      <c r="AE79" s="20"/>
    </row>
    <row r="80" spans="2:31" ht="15.75" customHeight="1" thickBot="1">
      <c r="C80" s="5"/>
      <c r="D80" s="269"/>
      <c r="E80" s="270"/>
      <c r="F80" s="270"/>
      <c r="G80" s="270"/>
      <c r="H80" s="270"/>
      <c r="I80" s="270"/>
      <c r="J80" s="270"/>
      <c r="K80" s="270"/>
      <c r="L80" s="270"/>
      <c r="M80" s="270"/>
      <c r="N80" s="270"/>
      <c r="O80" s="271"/>
      <c r="T80" s="21"/>
      <c r="U80" s="1"/>
      <c r="V80" s="1"/>
      <c r="W80" s="1"/>
      <c r="X80" s="1"/>
      <c r="Y80" s="1"/>
      <c r="Z80" s="1"/>
      <c r="AA80" s="1"/>
      <c r="AB80" s="1"/>
      <c r="AC80" s="1"/>
      <c r="AD80" s="1"/>
      <c r="AE80" s="20"/>
    </row>
    <row r="81" spans="1:32" ht="15" customHeight="1">
      <c r="B81" s="5"/>
      <c r="C81" s="5"/>
      <c r="D81" s="5"/>
      <c r="T81" s="21"/>
      <c r="U81" s="250" t="s">
        <v>230</v>
      </c>
      <c r="V81" s="250"/>
      <c r="W81" s="250"/>
      <c r="X81" s="250"/>
      <c r="Y81" s="250"/>
      <c r="Z81" s="180"/>
      <c r="AA81" s="21"/>
      <c r="AB81" s="181" t="str">
        <f>IF('Mon Entreprise'!K8&lt;=Annexes!S18,"Oui","Non")</f>
        <v>Oui</v>
      </c>
      <c r="AC81" s="1"/>
      <c r="AD81" s="1"/>
      <c r="AE81" s="20"/>
    </row>
    <row r="82" spans="1:32" ht="15" customHeight="1">
      <c r="A82" s="5"/>
      <c r="B82" s="5"/>
      <c r="C82" s="5"/>
      <c r="T82" s="21"/>
      <c r="U82" s="249" t="s">
        <v>239</v>
      </c>
      <c r="V82" s="249"/>
      <c r="W82" s="249"/>
      <c r="X82" s="249"/>
      <c r="Y82" s="249"/>
      <c r="Z82" s="181"/>
      <c r="AA82" s="21"/>
      <c r="AB82" s="181">
        <f>IF(Annexes!M5=FALSE,0,IF(Annexes!Q5=1,0,Annexes!Q5-1))</f>
        <v>0</v>
      </c>
      <c r="AC82" s="1"/>
      <c r="AD82" s="1"/>
      <c r="AE82" s="20"/>
    </row>
    <row r="83" spans="1:32" ht="15.75" customHeight="1">
      <c r="T83" s="21"/>
      <c r="U83" s="249" t="s">
        <v>240</v>
      </c>
      <c r="V83" s="249"/>
      <c r="W83" s="249"/>
      <c r="X83" s="249"/>
      <c r="Y83" s="249"/>
      <c r="Z83" s="181"/>
      <c r="AA83" s="21"/>
      <c r="AB83" s="181" t="str">
        <f>IF(Annexes!M5=FALSE,"Non",IF(Annexes!Q5=1,"Non","Oui"))</f>
        <v>Non</v>
      </c>
      <c r="AC83" s="1"/>
      <c r="AD83" s="1"/>
      <c r="AE83" s="20"/>
    </row>
    <row r="84" spans="1:32" ht="15" customHeight="1">
      <c r="B84" s="5"/>
      <c r="C84" s="5"/>
      <c r="D84" s="5"/>
      <c r="T84" s="21"/>
      <c r="U84" s="249" t="s">
        <v>241</v>
      </c>
      <c r="V84" s="249"/>
      <c r="W84" s="249"/>
      <c r="X84" s="249"/>
      <c r="Y84" s="249"/>
      <c r="Z84" s="159"/>
      <c r="AA84" s="21"/>
      <c r="AB84" s="48">
        <f>IF('Mon Entreprise'!K8&gt;=Annexes!U14,AB77,IF(AB75&gt;=AB76,AB75,AB76))</f>
        <v>0</v>
      </c>
      <c r="AC84" s="1"/>
      <c r="AD84" s="1"/>
      <c r="AE84" s="20"/>
    </row>
    <row r="85" spans="1:32" ht="16.5" thickBot="1">
      <c r="C85" s="251" t="s">
        <v>124</v>
      </c>
      <c r="D85" s="251"/>
      <c r="E85" s="251"/>
      <c r="F85" s="251"/>
      <c r="G85" s="251"/>
      <c r="H85" s="251"/>
      <c r="I85" s="81"/>
      <c r="J85" s="81"/>
      <c r="K85" s="81"/>
      <c r="L85" s="81"/>
      <c r="M85" s="81"/>
      <c r="N85" s="81"/>
      <c r="O85" s="81"/>
      <c r="P85" s="1"/>
      <c r="T85" s="22"/>
      <c r="U85" s="17"/>
      <c r="V85" s="17"/>
      <c r="W85" s="17"/>
      <c r="X85" s="17"/>
      <c r="Y85" s="17"/>
      <c r="Z85" s="17"/>
      <c r="AA85" s="17"/>
      <c r="AB85" s="17"/>
      <c r="AC85" s="17"/>
      <c r="AD85" s="17"/>
      <c r="AE85" s="4"/>
    </row>
    <row r="86" spans="1:32" ht="15.75">
      <c r="B86" s="83"/>
      <c r="C86" s="32"/>
      <c r="D86" s="32"/>
      <c r="E86" s="32"/>
      <c r="F86" s="32"/>
      <c r="G86" s="32"/>
      <c r="H86" s="32"/>
      <c r="I86" s="1"/>
      <c r="J86" s="1"/>
      <c r="K86" s="1"/>
      <c r="L86" s="1"/>
      <c r="M86" s="1"/>
      <c r="N86" s="1"/>
      <c r="O86" s="1"/>
      <c r="P86" s="1"/>
      <c r="T86" s="23"/>
      <c r="U86" s="18"/>
      <c r="V86" s="18"/>
      <c r="W86" s="18"/>
      <c r="X86" s="18"/>
      <c r="Y86" s="18"/>
      <c r="Z86" s="18"/>
      <c r="AA86" s="18"/>
      <c r="AB86" s="18"/>
      <c r="AC86" s="18"/>
      <c r="AD86" s="18"/>
      <c r="AE86" s="19"/>
    </row>
    <row r="87" spans="1:32" ht="15.75">
      <c r="B87" s="125"/>
      <c r="C87" s="261" t="s">
        <v>119</v>
      </c>
      <c r="D87" s="261"/>
      <c r="E87" s="261"/>
      <c r="F87" s="261"/>
      <c r="G87" s="261"/>
      <c r="H87" s="261"/>
      <c r="I87" s="261"/>
      <c r="J87" s="261"/>
      <c r="K87" s="261"/>
      <c r="L87" s="261"/>
      <c r="M87" s="261"/>
      <c r="N87" s="261"/>
      <c r="O87" s="261"/>
      <c r="P87" s="1"/>
      <c r="Q87" s="1"/>
      <c r="T87" s="21"/>
      <c r="U87" s="1"/>
      <c r="V87" s="1"/>
      <c r="W87" s="1"/>
      <c r="X87" s="1"/>
      <c r="Y87" s="1"/>
      <c r="Z87" s="1"/>
      <c r="AA87" s="1"/>
      <c r="AB87" s="1"/>
      <c r="AC87" s="1"/>
      <c r="AD87" s="1"/>
      <c r="AE87" s="20"/>
    </row>
    <row r="88" spans="1:32" ht="15.75">
      <c r="B88" s="125"/>
      <c r="C88" s="182"/>
      <c r="D88" s="78" t="s">
        <v>120</v>
      </c>
      <c r="E88" s="182"/>
      <c r="F88" s="182"/>
      <c r="G88" s="182"/>
      <c r="H88" s="182"/>
      <c r="I88" s="182"/>
      <c r="J88" s="182"/>
      <c r="K88" s="182"/>
      <c r="L88" s="182"/>
      <c r="M88" s="182"/>
      <c r="N88" s="182"/>
      <c r="O88" s="182"/>
      <c r="P88" s="1"/>
      <c r="Q88" s="1"/>
      <c r="T88" s="21"/>
      <c r="U88" s="1"/>
      <c r="V88" s="1"/>
      <c r="W88" s="1"/>
      <c r="X88" s="1"/>
      <c r="Y88" s="1"/>
      <c r="Z88" s="1"/>
      <c r="AA88" s="1"/>
      <c r="AB88" s="1"/>
      <c r="AC88" s="1"/>
      <c r="AD88" s="1"/>
      <c r="AE88" s="20"/>
    </row>
    <row r="89" spans="1:32" ht="15.75">
      <c r="B89" s="32"/>
      <c r="C89" s="32"/>
      <c r="D89" s="32"/>
      <c r="E89" s="32"/>
      <c r="F89" s="32"/>
      <c r="G89" s="32"/>
      <c r="H89" s="32"/>
      <c r="P89" s="1"/>
      <c r="Q89" s="1"/>
      <c r="R89" s="1"/>
      <c r="S89" s="1"/>
      <c r="T89" s="21"/>
      <c r="U89" s="1"/>
      <c r="V89" s="1"/>
      <c r="W89" s="1"/>
      <c r="X89" s="1"/>
      <c r="Y89" s="1"/>
      <c r="Z89" s="1"/>
      <c r="AA89" s="1"/>
      <c r="AB89" s="1"/>
      <c r="AC89" s="1"/>
      <c r="AD89" s="1"/>
      <c r="AE89" s="20"/>
    </row>
    <row r="90" spans="1:32" ht="15.75" hidden="1">
      <c r="B90" s="32"/>
      <c r="C90" s="32"/>
      <c r="D90" s="252" t="str">
        <f>IFERROR(IF(AND(AB124=0,AB125=0),"Vous ne pouvez pas bénéficier du fonds de solidarité pour le mois de Novembre 2020",IF(AB124&gt;AB125,"Votre entreprise peut bénéficier d'une aide de "&amp;AB124&amp;" €, au titre d'une perte d'au-moins 50 % de votre CA en Novembre 2020","Votre entreprise peut bénéficier d'une aide de "&amp;AB125&amp;" €, au titre d'une fermeture Administrative, ou d'une des activités mentionnées en annexe 1, ou en annexe 2 ayant une perte de CA d'au moins 80 % entre le 15/03/2020 et le 15/05/2020")),"Vous n'avez pas indiqué de chiffre d'affaires de référence")</f>
        <v>Vous ne pouvez pas bénéficier du fonds de solidarité pour le mois de Novembre 2020</v>
      </c>
      <c r="E90" s="253"/>
      <c r="F90" s="253"/>
      <c r="G90" s="253"/>
      <c r="H90" s="253"/>
      <c r="I90" s="253"/>
      <c r="J90" s="253"/>
      <c r="K90" s="253"/>
      <c r="L90" s="253"/>
      <c r="M90" s="253"/>
      <c r="N90" s="253"/>
      <c r="O90" s="254"/>
      <c r="P90" s="1"/>
      <c r="Q90" s="1"/>
      <c r="R90" s="1"/>
      <c r="S90" s="1"/>
      <c r="T90" s="21"/>
      <c r="U90" s="1"/>
      <c r="V90" s="1"/>
      <c r="W90" s="1"/>
      <c r="X90" s="1"/>
      <c r="Y90" s="1"/>
      <c r="Z90" s="1"/>
      <c r="AA90" s="1"/>
      <c r="AB90" s="1"/>
      <c r="AC90" s="1"/>
      <c r="AD90" s="1"/>
      <c r="AE90" s="20"/>
    </row>
    <row r="91" spans="1:32" ht="15.75" hidden="1" customHeight="1">
      <c r="B91" s="32"/>
      <c r="C91" s="32"/>
      <c r="D91" s="255"/>
      <c r="E91" s="256"/>
      <c r="F91" s="256"/>
      <c r="G91" s="256"/>
      <c r="H91" s="256"/>
      <c r="I91" s="256"/>
      <c r="J91" s="256"/>
      <c r="K91" s="256"/>
      <c r="L91" s="256"/>
      <c r="M91" s="256"/>
      <c r="N91" s="256"/>
      <c r="O91" s="257"/>
      <c r="P91" s="1"/>
      <c r="Q91" s="1"/>
      <c r="R91" s="1"/>
      <c r="S91" s="1"/>
      <c r="T91" s="21"/>
      <c r="U91" s="1"/>
      <c r="V91" s="1"/>
      <c r="W91" s="1"/>
      <c r="X91" s="1"/>
      <c r="Y91" s="1"/>
      <c r="Z91" s="1"/>
      <c r="AA91" s="1"/>
      <c r="AB91" s="1"/>
      <c r="AC91" s="1"/>
      <c r="AD91" s="1"/>
      <c r="AE91" s="20"/>
    </row>
    <row r="92" spans="1:32" ht="15.75" hidden="1">
      <c r="B92" s="32"/>
      <c r="C92" s="32"/>
      <c r="D92" s="255"/>
      <c r="E92" s="256"/>
      <c r="F92" s="256"/>
      <c r="G92" s="256"/>
      <c r="H92" s="256"/>
      <c r="I92" s="256"/>
      <c r="J92" s="256"/>
      <c r="K92" s="256"/>
      <c r="L92" s="256"/>
      <c r="M92" s="256"/>
      <c r="N92" s="256"/>
      <c r="O92" s="257"/>
      <c r="P92" s="1"/>
      <c r="Q92" s="1"/>
      <c r="R92" s="1"/>
      <c r="S92" s="1"/>
      <c r="T92" s="21"/>
      <c r="U92" s="1"/>
      <c r="V92" s="1"/>
      <c r="W92" s="1"/>
      <c r="X92" s="1"/>
      <c r="Y92" s="1"/>
      <c r="Z92" s="1"/>
      <c r="AA92" s="1"/>
      <c r="AB92" s="1"/>
      <c r="AC92" s="1"/>
      <c r="AD92" s="1"/>
      <c r="AE92" s="20"/>
    </row>
    <row r="93" spans="1:32" ht="15.75" hidden="1">
      <c r="B93" s="32"/>
      <c r="C93" s="32"/>
      <c r="D93" s="255"/>
      <c r="E93" s="256"/>
      <c r="F93" s="256"/>
      <c r="G93" s="256"/>
      <c r="H93" s="256"/>
      <c r="I93" s="256"/>
      <c r="J93" s="256"/>
      <c r="K93" s="256"/>
      <c r="L93" s="256"/>
      <c r="M93" s="256"/>
      <c r="N93" s="256"/>
      <c r="O93" s="257"/>
      <c r="P93" s="1"/>
      <c r="Q93" s="131"/>
      <c r="R93" s="1"/>
      <c r="S93" s="1"/>
      <c r="T93" s="21"/>
      <c r="U93" s="1"/>
      <c r="V93" s="1"/>
      <c r="W93" s="1"/>
      <c r="X93" s="1"/>
      <c r="Y93" s="1"/>
      <c r="Z93" s="1"/>
      <c r="AA93" s="1"/>
      <c r="AB93" s="1"/>
      <c r="AC93" s="1"/>
      <c r="AD93" s="1"/>
      <c r="AE93" s="20"/>
    </row>
    <row r="94" spans="1:32" ht="16.5" hidden="1" thickBot="1">
      <c r="B94" s="32"/>
      <c r="C94" s="32"/>
      <c r="D94" s="258"/>
      <c r="E94" s="259"/>
      <c r="F94" s="259"/>
      <c r="G94" s="259"/>
      <c r="H94" s="259"/>
      <c r="I94" s="259"/>
      <c r="J94" s="259"/>
      <c r="K94" s="259"/>
      <c r="L94" s="259"/>
      <c r="M94" s="259"/>
      <c r="N94" s="259"/>
      <c r="O94" s="260"/>
      <c r="P94" s="1"/>
      <c r="Q94" s="1"/>
      <c r="R94" s="131"/>
      <c r="S94" s="131"/>
      <c r="T94" s="132"/>
      <c r="U94" s="131"/>
      <c r="V94" s="131"/>
      <c r="W94" s="131"/>
      <c r="X94" s="131"/>
      <c r="Y94" s="131"/>
      <c r="Z94" s="131"/>
      <c r="AA94" s="131"/>
      <c r="AB94" s="131"/>
      <c r="AC94" s="131"/>
      <c r="AD94" s="131"/>
      <c r="AE94" s="133"/>
      <c r="AF94" s="121"/>
    </row>
    <row r="95" spans="1:32">
      <c r="B95" s="14"/>
      <c r="C95" s="101"/>
      <c r="D95" s="101"/>
      <c r="E95" s="100"/>
      <c r="F95" s="100"/>
      <c r="G95" s="100"/>
      <c r="H95" s="100"/>
      <c r="I95" s="100"/>
      <c r="J95" s="100"/>
      <c r="K95" s="100"/>
      <c r="L95" s="100"/>
      <c r="M95" s="100"/>
      <c r="N95" s="100"/>
      <c r="O95" s="100"/>
      <c r="Q95" s="1"/>
      <c r="R95" s="1"/>
      <c r="S95" s="1"/>
      <c r="T95" s="21"/>
      <c r="U95" s="1"/>
      <c r="V95" s="1"/>
      <c r="W95" s="1"/>
      <c r="X95" s="1"/>
      <c r="Y95" s="1"/>
      <c r="Z95" s="1"/>
      <c r="AA95" s="1"/>
      <c r="AB95" s="1"/>
      <c r="AC95" s="1"/>
      <c r="AD95" s="1"/>
      <c r="AE95" s="20"/>
    </row>
    <row r="96" spans="1:32">
      <c r="Q96" s="1"/>
      <c r="R96" s="1"/>
      <c r="S96" s="1"/>
      <c r="T96" s="21"/>
      <c r="U96" s="1"/>
      <c r="V96" s="1"/>
      <c r="W96" s="1"/>
      <c r="X96" s="1"/>
      <c r="Y96" s="1"/>
      <c r="Z96" s="1"/>
      <c r="AA96" s="1"/>
      <c r="AB96" s="1"/>
      <c r="AC96" s="1"/>
      <c r="AD96" s="1"/>
      <c r="AE96" s="20"/>
    </row>
    <row r="97" spans="3:31">
      <c r="C97" s="78" t="s">
        <v>215</v>
      </c>
      <c r="D97" s="78"/>
      <c r="E97" s="78"/>
      <c r="F97" s="78"/>
      <c r="G97" s="78"/>
      <c r="H97" s="78"/>
      <c r="I97" s="78"/>
      <c r="J97" s="51"/>
      <c r="K97" s="51"/>
      <c r="L97" s="51"/>
      <c r="M97" s="51"/>
      <c r="N97" s="51"/>
      <c r="O97" s="51"/>
      <c r="R97" s="1"/>
      <c r="S97" s="1"/>
      <c r="T97" s="21"/>
      <c r="U97" s="1"/>
      <c r="V97" s="1"/>
      <c r="W97" s="1"/>
      <c r="X97" s="1"/>
      <c r="Y97" s="1"/>
      <c r="Z97" s="1"/>
      <c r="AA97" s="1"/>
      <c r="AB97" s="1"/>
      <c r="AC97" s="1"/>
      <c r="AD97" s="1"/>
      <c r="AE97" s="20"/>
    </row>
    <row r="98" spans="3:31" ht="15" customHeight="1">
      <c r="C98" s="78"/>
      <c r="D98" s="78" t="str">
        <f>IFERROR(IF('Mon Entreprise'!K8&gt;=Annexes!U14,"Le CA de référence est celui de la création, soit une perte de "&amp;ROUND(AB104,0)&amp;" €"&amp;" ==&gt; "&amp;ROUND(AE104*100,0)&amp;" %",IF(AB102&gt;=AB103,"Le CA de référence est celui de Novembre 2019, soit une perte de "&amp;ROUND(AB102,0)&amp;" €"&amp;" ==&gt; "&amp;ROUND(AE102*100,0)&amp;" %","Le CA de référence est celui de de l'exercice 2019, soit une perte de "&amp;ROUND(AB103,0)&amp;" €"&amp;" ==&gt; "&amp;ROUND(AE103*100,0)&amp;" %")),"")</f>
        <v>Le CA de référence est celui de Novembre 2019, soit une perte de 0 € ==&gt; 0 %</v>
      </c>
      <c r="E98" s="78"/>
      <c r="F98" s="78"/>
      <c r="G98" s="78"/>
      <c r="H98" s="78"/>
      <c r="I98" s="78"/>
      <c r="J98" s="51"/>
      <c r="K98" s="51"/>
      <c r="L98" s="51"/>
      <c r="M98" s="51"/>
      <c r="N98" s="51"/>
      <c r="O98" s="51"/>
      <c r="T98" s="21"/>
      <c r="U98" s="1"/>
      <c r="V98" s="1"/>
      <c r="W98" s="1"/>
      <c r="X98" s="1"/>
      <c r="Y98" s="1"/>
      <c r="Z98" s="1"/>
      <c r="AA98" s="1"/>
      <c r="AB98" s="1"/>
      <c r="AC98" s="1"/>
      <c r="AD98" s="1"/>
      <c r="AE98" s="20"/>
    </row>
    <row r="99" spans="3:31" ht="15" customHeight="1" thickBot="1">
      <c r="T99" s="21"/>
      <c r="U99" s="1"/>
      <c r="V99" s="1"/>
      <c r="W99" s="1"/>
      <c r="X99" s="1"/>
      <c r="Y99" s="1"/>
      <c r="Z99" s="1"/>
      <c r="AA99" s="1"/>
      <c r="AB99" s="1"/>
      <c r="AC99" s="1"/>
      <c r="AD99" s="1"/>
      <c r="AE99" s="20"/>
    </row>
    <row r="100" spans="3:31" ht="15" customHeight="1">
      <c r="D100" s="276" t="str">
        <f>IFERROR(IF(AB106="Non","Vous avez débuté votre activité après le 30 Septembre 2020, vous ne pouvez donc pas bénéficier de cette aide",IF(AB108&gt;=0.5,IF(AB107&gt;Annexes!S5,"Dans votre cas, l'aide est Plafonnée, à "&amp;Annexes!S5&amp;" € pour le mois de novembre","Vous pouvez bénéficier, au titre de cette aide, d'un montant "&amp;ROUND(AB107,0)&amp;" € pour le mois de novembre"),"L'entreprise n'a pas une perte d'au moins 50 % en novembre 2020")),"Vous n'avez pas indiqué de chiffre d'affaires de référence")</f>
        <v>L'entreprise n'a pas une perte d'au moins 50 % en novembre 2020</v>
      </c>
      <c r="E100" s="277"/>
      <c r="F100" s="277"/>
      <c r="G100" s="277"/>
      <c r="H100" s="277"/>
      <c r="I100" s="277"/>
      <c r="J100" s="277"/>
      <c r="K100" s="277"/>
      <c r="L100" s="277"/>
      <c r="M100" s="277"/>
      <c r="N100" s="277"/>
      <c r="O100" s="278"/>
      <c r="T100" s="33"/>
      <c r="U100" s="274" t="s">
        <v>113</v>
      </c>
      <c r="V100" s="274"/>
      <c r="W100" s="274"/>
      <c r="X100" s="1"/>
      <c r="Y100" s="185" t="s">
        <v>97</v>
      </c>
      <c r="Z100" s="185"/>
      <c r="AA100" s="185"/>
      <c r="AB100" s="185" t="s">
        <v>116</v>
      </c>
      <c r="AC100" s="185"/>
      <c r="AD100" s="185"/>
      <c r="AE100" s="34" t="s">
        <v>117</v>
      </c>
    </row>
    <row r="101" spans="3:31" ht="15" customHeight="1">
      <c r="D101" s="279"/>
      <c r="E101" s="280"/>
      <c r="F101" s="280"/>
      <c r="G101" s="280"/>
      <c r="H101" s="280"/>
      <c r="I101" s="280"/>
      <c r="J101" s="280"/>
      <c r="K101" s="280"/>
      <c r="L101" s="280"/>
      <c r="M101" s="280"/>
      <c r="N101" s="280"/>
      <c r="O101" s="281"/>
      <c r="T101" s="33"/>
      <c r="U101" s="185"/>
      <c r="V101" s="185"/>
      <c r="W101" s="185"/>
      <c r="X101" s="1"/>
      <c r="Y101" s="185"/>
      <c r="Z101" s="185"/>
      <c r="AA101" s="185"/>
      <c r="AB101" s="185"/>
      <c r="AC101" s="185"/>
      <c r="AD101" s="185"/>
      <c r="AE101" s="34"/>
    </row>
    <row r="102" spans="3:31" ht="15" customHeight="1">
      <c r="D102" s="279"/>
      <c r="E102" s="280"/>
      <c r="F102" s="280"/>
      <c r="G102" s="280"/>
      <c r="H102" s="280"/>
      <c r="I102" s="280"/>
      <c r="J102" s="280"/>
      <c r="K102" s="280"/>
      <c r="L102" s="280"/>
      <c r="M102" s="280"/>
      <c r="N102" s="280"/>
      <c r="O102" s="281"/>
      <c r="T102" s="262" t="s">
        <v>123</v>
      </c>
      <c r="U102" s="249"/>
      <c r="V102" s="249"/>
      <c r="W102" s="249"/>
      <c r="X102" s="1"/>
      <c r="Y102" s="12">
        <f>'Mon Entreprise'!I60</f>
        <v>0</v>
      </c>
      <c r="Z102" s="162"/>
      <c r="AA102" s="29"/>
      <c r="AB102" s="12">
        <f>IF('Mon Entreprise'!I60-'Mon Entreprise'!M60&lt;0,0,'Mon Entreprise'!I60-'Mon Entreprise'!M60)</f>
        <v>0</v>
      </c>
      <c r="AC102" s="20"/>
      <c r="AD102" s="1"/>
      <c r="AE102" s="35">
        <f>IFERROR(1-'Mon Entreprise'!M60/'Mon Entreprise'!I60,0)</f>
        <v>0</v>
      </c>
    </row>
    <row r="103" spans="3:31" ht="15" customHeight="1" thickBot="1">
      <c r="D103" s="282"/>
      <c r="E103" s="283"/>
      <c r="F103" s="283"/>
      <c r="G103" s="283"/>
      <c r="H103" s="283"/>
      <c r="I103" s="283"/>
      <c r="J103" s="283"/>
      <c r="K103" s="283"/>
      <c r="L103" s="283"/>
      <c r="M103" s="283"/>
      <c r="N103" s="283"/>
      <c r="O103" s="284"/>
      <c r="T103" s="262" t="s">
        <v>118</v>
      </c>
      <c r="U103" s="249"/>
      <c r="V103" s="249"/>
      <c r="W103" s="249"/>
      <c r="X103" s="1"/>
      <c r="Y103" s="12">
        <f>'Mon Entreprise'!I46</f>
        <v>0</v>
      </c>
      <c r="Z103" s="162"/>
      <c r="AA103" s="29"/>
      <c r="AB103" s="12">
        <f>IF('Mon Entreprise'!I46-'Mon Entreprise'!M60&lt;0,0,'Mon Entreprise'!I46-'Mon Entreprise'!M60)</f>
        <v>0</v>
      </c>
      <c r="AC103" s="47"/>
      <c r="AD103" s="1"/>
      <c r="AE103" s="35">
        <f>IFERROR(1-'Mon Entreprise'!M60/'Mon Entreprise'!I46,0)</f>
        <v>0</v>
      </c>
    </row>
    <row r="104" spans="3:31" ht="15.75" customHeight="1">
      <c r="C104" s="100"/>
      <c r="D104" s="100"/>
      <c r="E104" s="100"/>
      <c r="F104" s="100"/>
      <c r="G104" s="100"/>
      <c r="H104" s="100"/>
      <c r="I104" s="100"/>
      <c r="J104" s="100"/>
      <c r="K104" s="100"/>
      <c r="L104" s="100"/>
      <c r="M104" s="100"/>
      <c r="N104" s="100"/>
      <c r="O104" s="100"/>
      <c r="T104" s="262" t="s">
        <v>115</v>
      </c>
      <c r="U104" s="249"/>
      <c r="V104" s="249"/>
      <c r="W104" s="249"/>
      <c r="X104" s="1"/>
      <c r="Y104" s="26" t="str">
        <f>IF('Mon Entreprise'!I77="","NC",'Mon Entreprise'!I77)</f>
        <v>NC</v>
      </c>
      <c r="Z104" s="163"/>
      <c r="AA104" s="29"/>
      <c r="AB104" s="48" t="str">
        <f>IFERROR(IF('Mon Entreprise'!I77-'Mon Entreprise'!M60&lt;0,0,'Mon Entreprise'!I77-'Mon Entreprise'!M60),"NC")</f>
        <v>NC</v>
      </c>
      <c r="AC104" s="164"/>
      <c r="AD104" s="1"/>
      <c r="AE104" s="36" t="str">
        <f>IFERROR(1-'Mon Entreprise'!M60/'Mon Entreprise'!I77,"NC")</f>
        <v>NC</v>
      </c>
    </row>
    <row r="105" spans="3:31" ht="15" customHeight="1">
      <c r="T105" s="21"/>
      <c r="U105" s="1"/>
      <c r="V105" s="1"/>
      <c r="W105" s="1"/>
      <c r="X105" s="1"/>
      <c r="Y105" s="1"/>
      <c r="Z105" s="1"/>
      <c r="AA105" s="1"/>
      <c r="AB105" s="1"/>
      <c r="AC105" s="1"/>
      <c r="AD105" s="1"/>
      <c r="AE105" s="20"/>
    </row>
    <row r="106" spans="3:31" ht="15" customHeight="1">
      <c r="C106" s="285" t="s">
        <v>245</v>
      </c>
      <c r="D106" s="285"/>
      <c r="E106" s="285"/>
      <c r="F106" s="285"/>
      <c r="G106" s="285"/>
      <c r="H106" s="285"/>
      <c r="I106" s="285"/>
      <c r="J106" s="285"/>
      <c r="K106" s="285"/>
      <c r="L106" s="285"/>
      <c r="M106" s="285"/>
      <c r="N106" s="285"/>
      <c r="O106" s="285"/>
      <c r="P106" s="51"/>
      <c r="T106" s="21"/>
      <c r="U106" s="250" t="s">
        <v>230</v>
      </c>
      <c r="V106" s="250"/>
      <c r="W106" s="250"/>
      <c r="X106" s="250"/>
      <c r="Y106" s="250"/>
      <c r="Z106" s="1"/>
      <c r="AA106" s="21"/>
      <c r="AB106" s="181" t="str">
        <f>IF('Mon Entreprise'!K8&lt;=Annexes!S18,"Oui","Non")</f>
        <v>Oui</v>
      </c>
      <c r="AC106" s="1"/>
      <c r="AD106" s="1"/>
      <c r="AE106" s="20"/>
    </row>
    <row r="107" spans="3:31" ht="15.75" customHeight="1">
      <c r="C107" s="285"/>
      <c r="D107" s="285"/>
      <c r="E107" s="285"/>
      <c r="F107" s="285"/>
      <c r="G107" s="285"/>
      <c r="H107" s="285"/>
      <c r="I107" s="285"/>
      <c r="J107" s="285"/>
      <c r="K107" s="285"/>
      <c r="L107" s="285"/>
      <c r="M107" s="285"/>
      <c r="N107" s="285"/>
      <c r="O107" s="285"/>
      <c r="P107" s="51"/>
      <c r="Q107" s="51"/>
      <c r="T107" s="21"/>
      <c r="U107" s="250" t="s">
        <v>233</v>
      </c>
      <c r="V107" s="250"/>
      <c r="W107" s="250"/>
      <c r="X107" s="250"/>
      <c r="Y107" s="250"/>
      <c r="Z107" s="1"/>
      <c r="AA107" s="21"/>
      <c r="AB107" s="181">
        <f>IF('Mon Entreprise'!K8&gt;=Annexes!U14,AB104,IF(AB102&gt;=AB103,AB102,AB103))</f>
        <v>0</v>
      </c>
      <c r="AC107" s="1"/>
      <c r="AD107" s="1"/>
      <c r="AE107" s="20"/>
    </row>
    <row r="108" spans="3:31" ht="15" customHeight="1">
      <c r="C108" s="78"/>
      <c r="E108" s="285" t="str">
        <f>IF('Mon Entreprise'!K8&gt;Annexes!S18,"",IF(OR(AB114="OUI",AND(AB115="OUI",AB113&gt;=Annexes!T5),AB116=TRUE),IF(K124&gt;Annexes!S6,"",""),IF(AND(AB115="OUI",AB113&lt;Annexes!T5),"L'entreprise fait partie des entreprises mentionnées en annexe 2 du décret mais n'a pas eu une perte de CA d'au-Moins 80 %, entre le 15/03/2020 et le 15/05/2020","L'entreprise ne fait pas partie des entreprises ayant une fermeture administrative et ne fait pas partie des activités mentionnées aux annexes 1 et 2 du décret")))</f>
        <v>L'entreprise ne fait pas partie des entreprises ayant une fermeture administrative et ne fait pas partie des activités mentionnées aux annexes 1 et 2 du décret</v>
      </c>
      <c r="F108" s="285"/>
      <c r="G108" s="285"/>
      <c r="H108" s="285"/>
      <c r="I108" s="285"/>
      <c r="J108" s="285"/>
      <c r="K108" s="285"/>
      <c r="L108" s="285"/>
      <c r="M108" s="285"/>
      <c r="N108" s="285"/>
      <c r="O108" s="285"/>
      <c r="P108" s="51"/>
      <c r="Q108" s="51"/>
      <c r="T108" s="21"/>
      <c r="U108" s="250" t="s">
        <v>234</v>
      </c>
      <c r="V108" s="250"/>
      <c r="W108" s="250"/>
      <c r="X108" s="250"/>
      <c r="Y108" s="250"/>
      <c r="Z108" s="1"/>
      <c r="AA108" s="21"/>
      <c r="AB108" s="27">
        <f>IF('Mon Entreprise'!K8&gt;=Annexes!U14,AE104,IF(AB102&gt;=AB103,AE102,AE103))</f>
        <v>0</v>
      </c>
      <c r="AC108" s="1"/>
      <c r="AD108" s="1"/>
      <c r="AE108" s="20"/>
    </row>
    <row r="109" spans="3:31" ht="15" customHeight="1">
      <c r="C109" s="78"/>
      <c r="D109" s="160"/>
      <c r="E109" s="285"/>
      <c r="F109" s="285"/>
      <c r="G109" s="285"/>
      <c r="H109" s="285"/>
      <c r="I109" s="285"/>
      <c r="J109" s="285"/>
      <c r="K109" s="285"/>
      <c r="L109" s="285"/>
      <c r="M109" s="285"/>
      <c r="N109" s="285"/>
      <c r="O109" s="285"/>
      <c r="P109" s="51"/>
      <c r="Q109" s="51"/>
      <c r="T109" s="21"/>
      <c r="U109" s="249"/>
      <c r="V109" s="249"/>
      <c r="W109" s="249"/>
      <c r="X109" s="249"/>
      <c r="Y109" s="249"/>
      <c r="Z109" s="1"/>
      <c r="AA109" s="1"/>
      <c r="AB109" s="181"/>
      <c r="AC109" s="1"/>
      <c r="AD109" s="1"/>
      <c r="AE109" s="20"/>
    </row>
    <row r="110" spans="3:31" ht="15" customHeight="1">
      <c r="C110" s="78"/>
      <c r="D110" s="78" t="str">
        <f>IFERROR(IF('Mon Entreprise'!K8&gt;=Annexes!U14,"- Le CA de référence est celui de la création, soit une perte de "&amp;ROUND(AB104,0)&amp;" €"&amp;" ==&gt; "&amp;ROUND(AE104*100,0)&amp;" %",IF(AB102&gt;=AB103,"- Le CA de référence est celui de Novembre 2019, soit une perte de "&amp;ROUND(AB102,0)&amp;" €"&amp;" ==&gt; "&amp;ROUND(AE102*100,0)&amp;" %","- Le CA de référence est celui de de l'exercice 2019, soit une perte de "&amp;ROUND(AB103,0)&amp;" €"&amp;" ==&gt; "&amp;ROUND(AE103*100,0)&amp;" %")),"")</f>
        <v>- Le CA de référence est celui de Novembre 2019, soit une perte de 0 € ==&gt; 0 %</v>
      </c>
      <c r="E110" s="78"/>
      <c r="F110" s="78"/>
      <c r="G110" s="78"/>
      <c r="H110" s="78"/>
      <c r="I110" s="78"/>
      <c r="J110" s="78"/>
      <c r="K110" s="78"/>
      <c r="L110" s="78"/>
      <c r="M110" s="78"/>
      <c r="N110" s="78"/>
      <c r="O110" s="78"/>
      <c r="P110" s="51"/>
      <c r="Q110" s="51"/>
      <c r="R110" s="51"/>
      <c r="T110" s="21"/>
      <c r="U110" s="1"/>
      <c r="V110" s="1"/>
      <c r="W110" s="1"/>
      <c r="X110" s="1"/>
      <c r="Y110" s="1"/>
      <c r="Z110" s="1"/>
      <c r="AA110" s="1"/>
      <c r="AB110" s="181"/>
      <c r="AC110" s="1"/>
      <c r="AD110" s="1"/>
      <c r="AE110" s="20"/>
    </row>
    <row r="111" spans="3:31" ht="15" customHeight="1">
      <c r="C111" s="51"/>
      <c r="D111" s="78" t="str">
        <f>IF(OR(AB114="OUI",AB116=TRUE),"- Sans ticket modérateur",IF(AND(AB115="OUI",AB113&gt;=0.8),"- Le CA de référence est plafonné à 80 %, il est donc de "&amp;ROUND(AB121*0.8,0)&amp;" €","-Sans ticket modérateur"))</f>
        <v>-Sans ticket modérateur</v>
      </c>
      <c r="E111" s="51"/>
      <c r="F111" s="51"/>
      <c r="G111" s="51"/>
      <c r="H111" s="51"/>
      <c r="I111" s="51"/>
      <c r="J111" s="51"/>
      <c r="K111" s="51"/>
      <c r="M111" s="51"/>
      <c r="N111" s="51"/>
      <c r="O111" s="51"/>
      <c r="P111" s="51"/>
      <c r="Q111" s="51"/>
      <c r="R111" s="51"/>
      <c r="T111" s="21"/>
      <c r="U111" s="1"/>
      <c r="V111" s="1"/>
      <c r="W111" s="1"/>
      <c r="X111" s="1"/>
      <c r="Y111" s="1"/>
      <c r="Z111" s="1"/>
      <c r="AA111" s="1"/>
      <c r="AB111" s="181"/>
      <c r="AC111" s="1"/>
      <c r="AD111" s="1"/>
      <c r="AE111" s="20"/>
    </row>
    <row r="112" spans="3:31" ht="15" customHeight="1" thickBot="1">
      <c r="Q112" s="51"/>
      <c r="R112" s="51"/>
      <c r="T112" s="21"/>
      <c r="U112" s="1"/>
      <c r="V112" s="1"/>
      <c r="W112" s="1"/>
      <c r="X112" s="1"/>
      <c r="Y112" s="1"/>
      <c r="Z112" s="1"/>
      <c r="AA112" s="1"/>
      <c r="AB112" s="181"/>
      <c r="AC112" s="1"/>
      <c r="AD112" s="1"/>
      <c r="AE112" s="20"/>
    </row>
    <row r="113" spans="2:31" ht="15" customHeight="1">
      <c r="D113" s="276" t="str">
        <f>IFERROR(IF('Mon Entreprise'!K8&gt;Annexes!S18,"Vous avez débuté votre activité après le 30 Septembre 2020, vous ne pouvez donc pas bénéficier de cette aide",IF(AB119&gt;=0.5,IF(OR(AB114="OUI",AND(AB115="OUI",AB113&gt;=Annexes!T5),AB116=TRUE),IF(AB122&gt;Annexes!S6,"Dans votre cas, l'aide est Plafonnée, à "&amp;Annexes!S6&amp;" € pour le mois de Novembre","Vous pouvez bénéficier, au titre de cette aide, d'un montant "&amp;ROUND(AB122,0)&amp;" € pour le mois de novembre"),IF(AND(AB115="OUI",AB113&lt;Annexes!T5),"L'entreprise fait partie des entreprises mentionnées en annexe 2 du décret, mais n'a pas eu une perte de CA d'au-Moins 80 % entre le 15/03/2020 et le 15/05/2020","L'entreprise ne fait pas partie des entreprises ayant une fermeture administrative et ne fait pas partie des activités mentionnées aux annexes 1 et 2 du décret")),"L'entreprise n'a pas une perte d'au moins 50 % en novembre 2020")),"Vous n'avez pas indiqué de chiffre d'affaires de référence")</f>
        <v>L'entreprise n'a pas une perte d'au moins 50 % en novembre 2020</v>
      </c>
      <c r="E113" s="277"/>
      <c r="F113" s="277"/>
      <c r="G113" s="277"/>
      <c r="H113" s="277"/>
      <c r="I113" s="277"/>
      <c r="J113" s="277"/>
      <c r="K113" s="277"/>
      <c r="L113" s="277"/>
      <c r="M113" s="277"/>
      <c r="N113" s="277"/>
      <c r="O113" s="278"/>
      <c r="Q113" s="51"/>
      <c r="R113" s="51"/>
      <c r="T113" s="287" t="s">
        <v>94</v>
      </c>
      <c r="U113" s="288"/>
      <c r="V113" s="288"/>
      <c r="W113" s="288"/>
      <c r="X113" s="288"/>
      <c r="Y113" s="288"/>
      <c r="Z113" s="1"/>
      <c r="AA113" s="21"/>
      <c r="AB113" s="161">
        <f>IFERROR(IF('Mon Entreprise'!K8&lt;Annexes!U19,IF(1-'Mon Entreprise'!M62/'Mon Entreprise'!I62&gt;=1-'Mon Entreprise'!M62/('Mon Entreprise'!I46*2),1-'Mon Entreprise'!M62/'Mon Entreprise'!I62,1-'Mon Entreprise'!M62/('Mon Entreprise'!I46*2)),1-'Mon Entreprise'!M62/'Mon Entreprise'!I70),0)</f>
        <v>0</v>
      </c>
      <c r="AC113" s="1"/>
      <c r="AD113" s="1"/>
      <c r="AE113" s="20"/>
    </row>
    <row r="114" spans="2:31" ht="15" customHeight="1">
      <c r="D114" s="279"/>
      <c r="E114" s="280"/>
      <c r="F114" s="280"/>
      <c r="G114" s="280"/>
      <c r="H114" s="280"/>
      <c r="I114" s="280"/>
      <c r="J114" s="280"/>
      <c r="K114" s="280"/>
      <c r="L114" s="280"/>
      <c r="M114" s="280"/>
      <c r="N114" s="280"/>
      <c r="O114" s="281"/>
      <c r="Q114" s="51"/>
      <c r="R114" s="51"/>
      <c r="T114" s="21"/>
      <c r="U114" s="288" t="s">
        <v>99</v>
      </c>
      <c r="V114" s="288"/>
      <c r="W114" s="288"/>
      <c r="X114" s="288"/>
      <c r="Y114" s="288"/>
      <c r="Z114" s="1"/>
      <c r="AA114" s="21"/>
      <c r="AB114" s="27" t="str">
        <f>IF((AND(Annexes!F5&gt;1,Annexes!F5&lt;61)),"OUI","NON")</f>
        <v>NON</v>
      </c>
      <c r="AC114" s="1"/>
      <c r="AD114" s="1"/>
      <c r="AE114" s="20"/>
    </row>
    <row r="115" spans="2:31" ht="15" customHeight="1">
      <c r="D115" s="279"/>
      <c r="E115" s="280"/>
      <c r="F115" s="280"/>
      <c r="G115" s="280"/>
      <c r="H115" s="280"/>
      <c r="I115" s="280"/>
      <c r="J115" s="280"/>
      <c r="K115" s="280"/>
      <c r="L115" s="280"/>
      <c r="M115" s="280"/>
      <c r="N115" s="280"/>
      <c r="O115" s="281"/>
      <c r="Q115" s="51"/>
      <c r="R115" s="51"/>
      <c r="T115" s="21"/>
      <c r="U115" s="249" t="s">
        <v>100</v>
      </c>
      <c r="V115" s="249"/>
      <c r="W115" s="249"/>
      <c r="X115" s="249"/>
      <c r="Y115" s="249"/>
      <c r="Z115" s="1"/>
      <c r="AA115" s="21"/>
      <c r="AB115" s="27" t="str">
        <f>IF((AND(Annexes!F7&gt;1,Annexes!F7&lt;87)),"OUI","NON")</f>
        <v>NON</v>
      </c>
      <c r="AC115" s="1"/>
      <c r="AD115" s="1"/>
      <c r="AE115" s="20"/>
    </row>
    <row r="116" spans="2:31" ht="15" customHeight="1" thickBot="1">
      <c r="D116" s="282"/>
      <c r="E116" s="283"/>
      <c r="F116" s="283"/>
      <c r="G116" s="283"/>
      <c r="H116" s="283"/>
      <c r="I116" s="283"/>
      <c r="J116" s="283"/>
      <c r="K116" s="283"/>
      <c r="L116" s="283"/>
      <c r="M116" s="283"/>
      <c r="N116" s="283"/>
      <c r="O116" s="284"/>
      <c r="R116" s="51"/>
      <c r="T116" s="21"/>
      <c r="U116" s="249" t="s">
        <v>103</v>
      </c>
      <c r="V116" s="249"/>
      <c r="W116" s="249"/>
      <c r="X116" s="249"/>
      <c r="Y116" s="249"/>
      <c r="Z116" s="1"/>
      <c r="AA116" s="21"/>
      <c r="AB116" s="27" t="b">
        <f>Annexes!M7</f>
        <v>0</v>
      </c>
      <c r="AC116" s="1"/>
      <c r="AD116" s="1"/>
      <c r="AE116" s="20"/>
    </row>
    <row r="117" spans="2:31" ht="15" customHeight="1">
      <c r="R117" s="51"/>
      <c r="T117" s="21"/>
      <c r="U117" s="250" t="s">
        <v>230</v>
      </c>
      <c r="V117" s="250"/>
      <c r="W117" s="250"/>
      <c r="X117" s="250"/>
      <c r="Y117" s="250"/>
      <c r="Z117" s="1"/>
      <c r="AA117" s="21"/>
      <c r="AB117" s="181" t="str">
        <f>IF('Mon Entreprise'!K8&lt;=Annexes!S18,"Oui","Non")</f>
        <v>Oui</v>
      </c>
      <c r="AC117" s="1"/>
      <c r="AD117" s="1"/>
      <c r="AE117" s="20"/>
    </row>
    <row r="118" spans="2:31" ht="15.75" customHeight="1">
      <c r="M118" s="3"/>
      <c r="T118" s="21"/>
      <c r="U118" s="250" t="s">
        <v>246</v>
      </c>
      <c r="V118" s="250"/>
      <c r="W118" s="250"/>
      <c r="X118" s="250"/>
      <c r="Y118" s="250"/>
      <c r="Z118" s="1"/>
      <c r="AA118" s="21"/>
      <c r="AB118" s="181">
        <f>IF('Mon Entreprise'!K8&gt;=Annexes!U14,AB104,IF(AB102&gt;=AB103,AB102,AB103))</f>
        <v>0</v>
      </c>
      <c r="AC118" s="1"/>
      <c r="AD118" s="1"/>
      <c r="AE118" s="20"/>
    </row>
    <row r="119" spans="2:31" ht="15" customHeight="1">
      <c r="M119" s="3"/>
      <c r="T119" s="21"/>
      <c r="U119" s="250" t="s">
        <v>247</v>
      </c>
      <c r="V119" s="250"/>
      <c r="W119" s="250"/>
      <c r="X119" s="250"/>
      <c r="Y119" s="250"/>
      <c r="Z119" s="1"/>
      <c r="AA119" s="21"/>
      <c r="AB119" s="27">
        <f>IF('Mon Entreprise'!K8&gt;=Annexes!U14,AE104,IF(AB102&gt;=AB103,AE102,AE103))</f>
        <v>0</v>
      </c>
      <c r="AC119" s="1"/>
      <c r="AD119" s="1"/>
      <c r="AE119" s="20"/>
    </row>
    <row r="120" spans="2:31" ht="15" customHeight="1">
      <c r="B120" s="189" t="s">
        <v>225</v>
      </c>
      <c r="C120" s="189"/>
      <c r="D120" s="189"/>
      <c r="E120" s="189"/>
      <c r="F120" s="189"/>
      <c r="G120" s="189"/>
      <c r="H120" s="189"/>
      <c r="I120" s="189"/>
      <c r="J120" s="189"/>
      <c r="K120" s="189"/>
      <c r="L120" s="189"/>
      <c r="M120" s="189"/>
      <c r="N120" s="189"/>
      <c r="O120" s="189"/>
      <c r="T120" s="21"/>
      <c r="U120" s="249" t="s">
        <v>232</v>
      </c>
      <c r="V120" s="249"/>
      <c r="W120" s="249"/>
      <c r="X120" s="249"/>
      <c r="Y120" s="249"/>
      <c r="Z120" s="1"/>
      <c r="AA120" s="21"/>
      <c r="AB120" s="73">
        <f>IF(OR(AB114="OUI",AB116=TRUE),1,IF(AND(AB115="OUI",AB113&gt;=0.8),0.8,1))</f>
        <v>1</v>
      </c>
      <c r="AC120" s="1"/>
      <c r="AD120" s="1"/>
      <c r="AE120" s="20"/>
    </row>
    <row r="121" spans="2:31" ht="15.75" customHeight="1">
      <c r="M121" s="3"/>
      <c r="O121" s="1"/>
      <c r="P121" s="1"/>
      <c r="T121" s="21"/>
      <c r="U121" s="249" t="s">
        <v>241</v>
      </c>
      <c r="V121" s="249"/>
      <c r="W121" s="249"/>
      <c r="X121" s="249"/>
      <c r="Y121" s="249"/>
      <c r="Z121" s="1"/>
      <c r="AA121" s="21"/>
      <c r="AB121" s="176">
        <f>IF('Mon Entreprise'!K8&gt;=Annexes!U14,Y104,IF(AB102&gt;=AB103,Y102,Y103))</f>
        <v>0</v>
      </c>
      <c r="AC121" s="1"/>
      <c r="AD121" s="1"/>
      <c r="AE121" s="20"/>
    </row>
    <row r="122" spans="2:31">
      <c r="O122" s="1"/>
      <c r="P122" s="1"/>
      <c r="T122" s="21"/>
      <c r="U122" s="249" t="s">
        <v>249</v>
      </c>
      <c r="V122" s="249"/>
      <c r="W122" s="249"/>
      <c r="X122" s="249"/>
      <c r="Y122" s="249"/>
      <c r="Z122" s="1"/>
      <c r="AA122" s="21"/>
      <c r="AB122" s="181">
        <f>IF(AB118&gt;AB121*AB120,IF(AND(AB118&gt;1500,1500&gt;AB121*AB120),1500,IF(1500&gt;AB118,AB118,AB121*AB120)),AB118)</f>
        <v>0</v>
      </c>
      <c r="AC122" s="1"/>
      <c r="AD122" s="1"/>
      <c r="AE122" s="20"/>
    </row>
    <row r="123" spans="2:31">
      <c r="B123" s="5"/>
      <c r="C123" s="5"/>
      <c r="D123" s="5"/>
      <c r="K123" s="9"/>
      <c r="O123" s="1"/>
      <c r="P123" s="1"/>
      <c r="T123" s="21"/>
      <c r="U123" s="181"/>
      <c r="V123" s="181"/>
      <c r="W123" s="181"/>
      <c r="X123" s="181"/>
      <c r="Y123" s="181"/>
      <c r="Z123" s="1"/>
      <c r="AA123" s="1"/>
      <c r="AB123" s="181"/>
      <c r="AC123" s="1"/>
      <c r="AD123" s="1"/>
      <c r="AE123" s="20"/>
    </row>
    <row r="124" spans="2:31">
      <c r="B124" s="6"/>
      <c r="C124" s="6"/>
      <c r="D124" s="6"/>
      <c r="O124" s="1"/>
      <c r="P124" s="1"/>
      <c r="Q124" s="1"/>
      <c r="T124" s="21"/>
      <c r="U124" s="249" t="s">
        <v>243</v>
      </c>
      <c r="V124" s="249"/>
      <c r="W124" s="249"/>
      <c r="X124" s="249"/>
      <c r="Y124" s="249"/>
      <c r="Z124" s="1"/>
      <c r="AA124" s="21"/>
      <c r="AB124" s="181">
        <f>IF(AB106="Non",0,IF(AB108&gt;=0.5,IF(AB107&gt;Annexes!S5,Annexes!S5,ROUND(AB107,0)),0))</f>
        <v>0</v>
      </c>
      <c r="AC124" s="1"/>
      <c r="AD124" s="1"/>
      <c r="AE124" s="20"/>
    </row>
    <row r="125" spans="2:31">
      <c r="B125" s="5"/>
      <c r="C125" s="5"/>
      <c r="D125" s="5"/>
      <c r="O125" s="1"/>
      <c r="P125" s="1"/>
      <c r="Q125" s="1"/>
      <c r="T125" s="21"/>
      <c r="U125" s="249" t="s">
        <v>242</v>
      </c>
      <c r="V125" s="249"/>
      <c r="W125" s="249"/>
      <c r="X125" s="249"/>
      <c r="Y125" s="249"/>
      <c r="Z125" s="1"/>
      <c r="AA125" s="21"/>
      <c r="AB125" s="181">
        <f>IFERROR(IF('Mon Entreprise'!K8&gt;Annexes!S18,0,IF(AB119&gt;=0.5,IF(OR(AB114="OUI",AND(AB115="OUI",AB113&gt;=Annexes!T5),AB116=TRUE),IF(AB122&gt;Annexes!S6,Annexes!S6,ROUND(AB122,0)),IF(AND(AB115="OUI",AB113&lt;Annexes!T5),0,0)),0)),0)</f>
        <v>0</v>
      </c>
      <c r="AC125" s="1"/>
      <c r="AD125" s="1"/>
      <c r="AE125" s="20"/>
    </row>
    <row r="126" spans="2:31">
      <c r="Q126" s="1"/>
      <c r="R126" s="1"/>
      <c r="S126" s="1"/>
      <c r="T126" s="21"/>
      <c r="U126" s="1"/>
      <c r="V126" s="1"/>
      <c r="W126" s="1"/>
      <c r="X126" s="1"/>
      <c r="Y126" s="1"/>
      <c r="Z126" s="1"/>
      <c r="AA126" s="1"/>
      <c r="AB126" s="181"/>
      <c r="AC126" s="1"/>
      <c r="AD126" s="1"/>
      <c r="AE126" s="20"/>
    </row>
    <row r="127" spans="2:31">
      <c r="B127" s="5"/>
      <c r="C127" s="5"/>
      <c r="D127" s="5"/>
      <c r="Q127" s="1"/>
      <c r="R127" s="1"/>
      <c r="S127" s="1"/>
      <c r="T127" s="22"/>
      <c r="U127" s="17"/>
      <c r="V127" s="17"/>
      <c r="W127" s="17"/>
      <c r="X127" s="17"/>
      <c r="Y127" s="17"/>
      <c r="Z127" s="17"/>
      <c r="AA127" s="17"/>
      <c r="AB127" s="17"/>
      <c r="AC127" s="17"/>
      <c r="AD127" s="17"/>
      <c r="AE127" s="4"/>
    </row>
    <row r="128" spans="2:31">
      <c r="B128" s="5"/>
      <c r="C128" s="5"/>
      <c r="D128" s="5"/>
      <c r="Q128" s="1"/>
      <c r="R128" s="1"/>
      <c r="S128" s="1"/>
      <c r="T128" s="1"/>
      <c r="U128" s="1"/>
      <c r="V128" s="1"/>
    </row>
    <row r="129" spans="18:22">
      <c r="R129" s="1"/>
      <c r="S129" s="1"/>
      <c r="T129" s="1"/>
      <c r="U129" s="1"/>
      <c r="V129" s="1"/>
    </row>
    <row r="130" spans="18:22">
      <c r="R130" s="1"/>
      <c r="S130" s="1"/>
      <c r="T130" s="1"/>
      <c r="U130" s="1"/>
      <c r="V130" s="1"/>
    </row>
    <row r="131" spans="18:22">
      <c r="T131" s="1"/>
      <c r="U131" s="1"/>
      <c r="V131" s="1"/>
    </row>
    <row r="132" spans="18:22">
      <c r="T132" s="1"/>
    </row>
  </sheetData>
  <sheetProtection algorithmName="SHA-512" hashValue="V+8nvMzPsbVxBLws2csGtdnon48deWbvOLsjrYaIcNAc2TCzycK/a4OdUFYw0yNTQL99r2lQaj8EG1NXB+F7tQ==" saltValue="mhaOt3IXyVDAlvwGAmw74w==" spinCount="100000" sheet="1" selectLockedCells="1" selectUnlockedCells="1"/>
  <mergeCells count="80">
    <mergeCell ref="C106:O107"/>
    <mergeCell ref="U48:Y48"/>
    <mergeCell ref="U56:Y56"/>
    <mergeCell ref="U55:Y55"/>
    <mergeCell ref="T76:W76"/>
    <mergeCell ref="U83:Y83"/>
    <mergeCell ref="T75:W75"/>
    <mergeCell ref="U81:Y81"/>
    <mergeCell ref="U82:Y82"/>
    <mergeCell ref="D77:O80"/>
    <mergeCell ref="T77:W77"/>
    <mergeCell ref="T102:W102"/>
    <mergeCell ref="U100:W100"/>
    <mergeCell ref="U74:W74"/>
    <mergeCell ref="C85:H85"/>
    <mergeCell ref="C87:O87"/>
    <mergeCell ref="F3:O6"/>
    <mergeCell ref="B8:O8"/>
    <mergeCell ref="B9:O10"/>
    <mergeCell ref="B11:O11"/>
    <mergeCell ref="B13:O13"/>
    <mergeCell ref="T13:AE15"/>
    <mergeCell ref="C15:H15"/>
    <mergeCell ref="C18:I18"/>
    <mergeCell ref="U18:W18"/>
    <mergeCell ref="T19:W19"/>
    <mergeCell ref="C32:H32"/>
    <mergeCell ref="U35:W35"/>
    <mergeCell ref="T20:W20"/>
    <mergeCell ref="T21:W21"/>
    <mergeCell ref="U24:Y24"/>
    <mergeCell ref="U25:Y25"/>
    <mergeCell ref="U26:Y26"/>
    <mergeCell ref="D24:O28"/>
    <mergeCell ref="U27:Y27"/>
    <mergeCell ref="U42:Y42"/>
    <mergeCell ref="U43:Y43"/>
    <mergeCell ref="U44:Y44"/>
    <mergeCell ref="D37:O41"/>
    <mergeCell ref="T39:W39"/>
    <mergeCell ref="T41:Y41"/>
    <mergeCell ref="T37:W37"/>
    <mergeCell ref="T38:W38"/>
    <mergeCell ref="D90:O94"/>
    <mergeCell ref="D100:O103"/>
    <mergeCell ref="U45:Y45"/>
    <mergeCell ref="U46:Y46"/>
    <mergeCell ref="U47:Y47"/>
    <mergeCell ref="C44:O45"/>
    <mergeCell ref="D47:O48"/>
    <mergeCell ref="U49:Y49"/>
    <mergeCell ref="U50:Y50"/>
    <mergeCell ref="D51:O54"/>
    <mergeCell ref="U57:Y57"/>
    <mergeCell ref="C58:O59"/>
    <mergeCell ref="D60:O61"/>
    <mergeCell ref="D65:O68"/>
    <mergeCell ref="U51:Y51"/>
    <mergeCell ref="U107:Y107"/>
    <mergeCell ref="U108:Y108"/>
    <mergeCell ref="U114:Y114"/>
    <mergeCell ref="U115:Y115"/>
    <mergeCell ref="U84:Y84"/>
    <mergeCell ref="T103:W103"/>
    <mergeCell ref="U106:Y106"/>
    <mergeCell ref="T104:W104"/>
    <mergeCell ref="U125:Y125"/>
    <mergeCell ref="U124:Y124"/>
    <mergeCell ref="E108:O109"/>
    <mergeCell ref="U109:Y109"/>
    <mergeCell ref="D113:O116"/>
    <mergeCell ref="T113:Y113"/>
    <mergeCell ref="B120:O120"/>
    <mergeCell ref="U120:Y120"/>
    <mergeCell ref="U121:Y121"/>
    <mergeCell ref="U116:Y116"/>
    <mergeCell ref="U117:Y117"/>
    <mergeCell ref="U118:Y118"/>
    <mergeCell ref="U119:Y119"/>
    <mergeCell ref="U122:Y122"/>
  </mergeCells>
  <hyperlinks>
    <hyperlink ref="F3:O6" r:id="rId1" display="https://www.legifrance.gouv.fr/jorf/id/JORFTEXT000042486721"/>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2:AC89"/>
  <sheetViews>
    <sheetView workbookViewId="0">
      <selection activeCell="Q5" sqref="Q5"/>
    </sheetView>
  </sheetViews>
  <sheetFormatPr baseColWidth="10" defaultRowHeight="15" customHeight="1"/>
  <cols>
    <col min="1" max="2" width="11.42578125" customWidth="1"/>
    <col min="4" max="4" width="11.42578125" customWidth="1"/>
  </cols>
  <sheetData>
    <row r="2" spans="2:21" ht="15" customHeight="1">
      <c r="I2" t="s">
        <v>104</v>
      </c>
    </row>
    <row r="3" spans="2:21" ht="15" customHeight="1">
      <c r="B3" t="s">
        <v>0</v>
      </c>
      <c r="D3" t="s">
        <v>49</v>
      </c>
      <c r="I3" t="s">
        <v>101</v>
      </c>
      <c r="J3" t="s">
        <v>102</v>
      </c>
    </row>
    <row r="4" spans="2:21" ht="15" customHeight="1">
      <c r="B4" t="s">
        <v>190</v>
      </c>
      <c r="C4" t="s">
        <v>98</v>
      </c>
      <c r="D4" t="s">
        <v>191</v>
      </c>
      <c r="E4" t="s">
        <v>98</v>
      </c>
      <c r="I4">
        <v>0</v>
      </c>
      <c r="J4">
        <v>0</v>
      </c>
      <c r="O4" t="s">
        <v>92</v>
      </c>
      <c r="Q4" t="s">
        <v>93</v>
      </c>
      <c r="S4" t="s">
        <v>96</v>
      </c>
    </row>
    <row r="5" spans="2:21" ht="15" customHeight="1">
      <c r="B5" s="40" t="s">
        <v>1</v>
      </c>
      <c r="C5" t="s">
        <v>98</v>
      </c>
      <c r="D5" s="44" t="s">
        <v>50</v>
      </c>
      <c r="E5" t="s">
        <v>98</v>
      </c>
      <c r="F5">
        <v>1</v>
      </c>
      <c r="G5" t="s">
        <v>132</v>
      </c>
      <c r="I5">
        <v>1</v>
      </c>
      <c r="J5">
        <v>1</v>
      </c>
      <c r="M5" t="b">
        <v>0</v>
      </c>
      <c r="O5">
        <v>1</v>
      </c>
      <c r="Q5">
        <v>1</v>
      </c>
      <c r="S5">
        <v>1500</v>
      </c>
      <c r="T5">
        <v>0.8</v>
      </c>
    </row>
    <row r="6" spans="2:21" ht="15" customHeight="1">
      <c r="B6" s="40" t="s">
        <v>2</v>
      </c>
      <c r="C6" t="s">
        <v>98</v>
      </c>
      <c r="D6" s="44" t="s">
        <v>51</v>
      </c>
      <c r="E6" t="s">
        <v>98</v>
      </c>
      <c r="I6">
        <v>2</v>
      </c>
      <c r="J6">
        <v>2</v>
      </c>
      <c r="S6">
        <v>10000</v>
      </c>
      <c r="T6">
        <v>0.6</v>
      </c>
    </row>
    <row r="7" spans="2:21" ht="15" customHeight="1">
      <c r="B7" s="40" t="s">
        <v>3</v>
      </c>
      <c r="C7" t="s">
        <v>98</v>
      </c>
      <c r="D7" s="44" t="s">
        <v>52</v>
      </c>
      <c r="E7" t="s">
        <v>98</v>
      </c>
      <c r="F7">
        <v>1</v>
      </c>
      <c r="G7" t="s">
        <v>133</v>
      </c>
      <c r="I7">
        <v>3</v>
      </c>
      <c r="J7">
        <v>3</v>
      </c>
      <c r="M7" t="b">
        <v>0</v>
      </c>
      <c r="S7">
        <v>333</v>
      </c>
    </row>
    <row r="8" spans="2:21" ht="15" customHeight="1">
      <c r="B8" s="40" t="s">
        <v>4</v>
      </c>
      <c r="C8" t="s">
        <v>98</v>
      </c>
      <c r="D8" s="44" t="s">
        <v>53</v>
      </c>
      <c r="E8" t="s">
        <v>98</v>
      </c>
      <c r="I8">
        <v>4</v>
      </c>
      <c r="J8">
        <v>4</v>
      </c>
    </row>
    <row r="9" spans="2:21" ht="15" customHeight="1">
      <c r="B9" s="40" t="s">
        <v>5</v>
      </c>
      <c r="C9" t="s">
        <v>98</v>
      </c>
      <c r="D9" s="44" t="s">
        <v>54</v>
      </c>
      <c r="E9" t="s">
        <v>98</v>
      </c>
      <c r="I9">
        <v>5</v>
      </c>
      <c r="J9">
        <v>5</v>
      </c>
      <c r="M9" t="b">
        <v>0</v>
      </c>
    </row>
    <row r="10" spans="2:21" ht="15" customHeight="1">
      <c r="B10" s="40" t="s">
        <v>6</v>
      </c>
      <c r="C10" t="s">
        <v>98</v>
      </c>
      <c r="D10" s="44" t="s">
        <v>55</v>
      </c>
      <c r="E10" t="s">
        <v>98</v>
      </c>
      <c r="I10">
        <v>6</v>
      </c>
      <c r="J10">
        <v>6</v>
      </c>
    </row>
    <row r="11" spans="2:21" ht="15" customHeight="1">
      <c r="B11" s="40" t="s">
        <v>7</v>
      </c>
      <c r="C11" t="s">
        <v>98</v>
      </c>
      <c r="D11" s="44" t="s">
        <v>56</v>
      </c>
      <c r="E11" t="s">
        <v>98</v>
      </c>
      <c r="J11">
        <v>7</v>
      </c>
      <c r="S11" s="2">
        <v>43900</v>
      </c>
    </row>
    <row r="12" spans="2:21" ht="15" customHeight="1">
      <c r="B12" s="40" t="s">
        <v>8</v>
      </c>
      <c r="C12" t="s">
        <v>98</v>
      </c>
      <c r="D12" s="44" t="s">
        <v>57</v>
      </c>
      <c r="E12" t="s">
        <v>98</v>
      </c>
      <c r="J12">
        <v>8</v>
      </c>
      <c r="S12" s="2"/>
    </row>
    <row r="13" spans="2:21" ht="15" customHeight="1">
      <c r="B13" s="40" t="s">
        <v>9</v>
      </c>
      <c r="C13" t="s">
        <v>98</v>
      </c>
      <c r="D13" s="44" t="s">
        <v>58</v>
      </c>
      <c r="E13" t="s">
        <v>98</v>
      </c>
      <c r="J13">
        <v>9</v>
      </c>
      <c r="S13" s="2" t="s">
        <v>95</v>
      </c>
    </row>
    <row r="14" spans="2:21" ht="15" customHeight="1">
      <c r="B14" s="40" t="s">
        <v>10</v>
      </c>
      <c r="C14" t="s">
        <v>98</v>
      </c>
      <c r="D14" s="44" t="s">
        <v>59</v>
      </c>
      <c r="E14" t="s">
        <v>98</v>
      </c>
      <c r="J14">
        <v>10</v>
      </c>
      <c r="S14" s="2">
        <v>43890</v>
      </c>
      <c r="U14" s="2">
        <v>43617</v>
      </c>
    </row>
    <row r="15" spans="2:21" ht="15" customHeight="1">
      <c r="B15" s="41" t="s">
        <v>11</v>
      </c>
      <c r="C15" t="s">
        <v>98</v>
      </c>
      <c r="D15" s="44" t="s">
        <v>60</v>
      </c>
      <c r="E15" t="s">
        <v>98</v>
      </c>
      <c r="J15">
        <v>11</v>
      </c>
      <c r="S15" s="2">
        <v>43862</v>
      </c>
      <c r="U15" s="2">
        <v>43900</v>
      </c>
    </row>
    <row r="16" spans="2:21" ht="15" customHeight="1">
      <c r="B16" s="40" t="s">
        <v>12</v>
      </c>
      <c r="C16" t="s">
        <v>98</v>
      </c>
      <c r="D16" s="44" t="s">
        <v>61</v>
      </c>
      <c r="E16" t="s">
        <v>98</v>
      </c>
      <c r="J16">
        <v>12</v>
      </c>
      <c r="S16" s="2">
        <v>43891</v>
      </c>
      <c r="U16" s="2">
        <v>44013</v>
      </c>
    </row>
    <row r="17" spans="2:21" ht="15" customHeight="1">
      <c r="B17" s="40" t="s">
        <v>13</v>
      </c>
      <c r="C17" t="s">
        <v>98</v>
      </c>
      <c r="D17" s="44" t="s">
        <v>62</v>
      </c>
      <c r="E17" t="s">
        <v>98</v>
      </c>
      <c r="J17">
        <v>13</v>
      </c>
      <c r="S17" s="2">
        <v>43466</v>
      </c>
      <c r="U17" s="2">
        <v>43830</v>
      </c>
    </row>
    <row r="18" spans="2:21" ht="15" customHeight="1">
      <c r="B18" s="42" t="s">
        <v>134</v>
      </c>
      <c r="C18" t="s">
        <v>98</v>
      </c>
      <c r="D18" s="44" t="s">
        <v>63</v>
      </c>
      <c r="E18" t="s">
        <v>98</v>
      </c>
      <c r="J18">
        <v>14</v>
      </c>
      <c r="S18" s="2">
        <v>44104</v>
      </c>
      <c r="U18" s="2">
        <v>44074</v>
      </c>
    </row>
    <row r="19" spans="2:21" ht="15" customHeight="1">
      <c r="B19" s="40" t="s">
        <v>14</v>
      </c>
      <c r="C19" t="s">
        <v>98</v>
      </c>
      <c r="D19" s="44" t="s">
        <v>64</v>
      </c>
      <c r="E19" t="s">
        <v>98</v>
      </c>
      <c r="J19">
        <v>15</v>
      </c>
      <c r="S19" s="2">
        <v>43905</v>
      </c>
      <c r="U19" s="2">
        <v>43539</v>
      </c>
    </row>
    <row r="20" spans="2:21" ht="15" customHeight="1">
      <c r="B20" s="40" t="s">
        <v>15</v>
      </c>
      <c r="C20" t="s">
        <v>98</v>
      </c>
      <c r="D20" s="44" t="s">
        <v>65</v>
      </c>
      <c r="E20" t="s">
        <v>98</v>
      </c>
      <c r="J20">
        <v>16</v>
      </c>
    </row>
    <row r="21" spans="2:21" ht="15" customHeight="1">
      <c r="B21" s="40" t="s">
        <v>16</v>
      </c>
      <c r="C21" t="s">
        <v>98</v>
      </c>
      <c r="D21" s="44" t="s">
        <v>66</v>
      </c>
      <c r="E21" t="s">
        <v>98</v>
      </c>
      <c r="J21">
        <v>17</v>
      </c>
    </row>
    <row r="22" spans="2:21" ht="15" customHeight="1">
      <c r="B22" s="40" t="s">
        <v>17</v>
      </c>
      <c r="C22" t="s">
        <v>98</v>
      </c>
      <c r="D22" s="45" t="s">
        <v>67</v>
      </c>
      <c r="E22" t="s">
        <v>98</v>
      </c>
      <c r="J22">
        <v>18</v>
      </c>
    </row>
    <row r="23" spans="2:21" ht="15" customHeight="1">
      <c r="B23" s="40" t="s">
        <v>18</v>
      </c>
      <c r="C23" t="s">
        <v>98</v>
      </c>
      <c r="D23" s="44" t="s">
        <v>68</v>
      </c>
      <c r="E23" t="s">
        <v>98</v>
      </c>
      <c r="J23">
        <v>19</v>
      </c>
    </row>
    <row r="24" spans="2:21" ht="15" customHeight="1">
      <c r="B24" s="40" t="s">
        <v>19</v>
      </c>
      <c r="C24" t="s">
        <v>98</v>
      </c>
      <c r="D24" s="44" t="s">
        <v>69</v>
      </c>
      <c r="E24" t="s">
        <v>98</v>
      </c>
      <c r="J24">
        <v>20</v>
      </c>
    </row>
    <row r="25" spans="2:21" ht="15" customHeight="1">
      <c r="B25" s="40" t="s">
        <v>20</v>
      </c>
      <c r="C25" t="s">
        <v>98</v>
      </c>
      <c r="D25" s="44" t="s">
        <v>70</v>
      </c>
      <c r="E25" t="s">
        <v>98</v>
      </c>
      <c r="J25">
        <v>21</v>
      </c>
    </row>
    <row r="26" spans="2:21" ht="15" customHeight="1">
      <c r="B26" s="40" t="s">
        <v>21</v>
      </c>
      <c r="C26" t="s">
        <v>98</v>
      </c>
      <c r="D26" s="44" t="s">
        <v>71</v>
      </c>
      <c r="E26" t="s">
        <v>98</v>
      </c>
      <c r="J26">
        <v>22</v>
      </c>
    </row>
    <row r="27" spans="2:21" ht="15" customHeight="1">
      <c r="B27" s="40" t="s">
        <v>22</v>
      </c>
      <c r="C27" t="s">
        <v>98</v>
      </c>
      <c r="D27" s="44" t="s">
        <v>72</v>
      </c>
      <c r="E27" t="s">
        <v>98</v>
      </c>
      <c r="J27">
        <v>23</v>
      </c>
    </row>
    <row r="28" spans="2:21" ht="15" customHeight="1">
      <c r="B28" s="40" t="s">
        <v>23</v>
      </c>
      <c r="C28" t="s">
        <v>98</v>
      </c>
      <c r="D28" s="44" t="s">
        <v>73</v>
      </c>
      <c r="E28" t="s">
        <v>98</v>
      </c>
      <c r="J28">
        <v>24</v>
      </c>
    </row>
    <row r="29" spans="2:21" ht="15" customHeight="1">
      <c r="B29" s="41" t="s">
        <v>24</v>
      </c>
      <c r="C29" t="s">
        <v>98</v>
      </c>
      <c r="D29" s="44" t="s">
        <v>74</v>
      </c>
      <c r="E29" t="s">
        <v>98</v>
      </c>
      <c r="J29">
        <v>25</v>
      </c>
    </row>
    <row r="30" spans="2:21" ht="15" customHeight="1">
      <c r="B30" s="40" t="s">
        <v>25</v>
      </c>
      <c r="C30" t="s">
        <v>98</v>
      </c>
      <c r="D30" s="44" t="s">
        <v>75</v>
      </c>
      <c r="E30" t="s">
        <v>98</v>
      </c>
      <c r="J30">
        <v>26</v>
      </c>
    </row>
    <row r="31" spans="2:21" ht="15" customHeight="1">
      <c r="B31" s="40" t="s">
        <v>26</v>
      </c>
      <c r="C31" t="s">
        <v>98</v>
      </c>
      <c r="D31" s="44" t="s">
        <v>76</v>
      </c>
      <c r="E31" t="s">
        <v>98</v>
      </c>
      <c r="J31">
        <v>27</v>
      </c>
    </row>
    <row r="32" spans="2:21" ht="15" customHeight="1">
      <c r="B32" s="40" t="s">
        <v>27</v>
      </c>
      <c r="C32" t="s">
        <v>98</v>
      </c>
      <c r="D32" s="44" t="s">
        <v>77</v>
      </c>
      <c r="E32" t="s">
        <v>98</v>
      </c>
      <c r="J32">
        <v>28</v>
      </c>
    </row>
    <row r="33" spans="2:29" ht="15" customHeight="1">
      <c r="B33" s="40" t="s">
        <v>28</v>
      </c>
      <c r="C33" t="s">
        <v>98</v>
      </c>
      <c r="D33" s="44" t="s">
        <v>78</v>
      </c>
      <c r="E33" t="s">
        <v>98</v>
      </c>
      <c r="J33">
        <v>29</v>
      </c>
    </row>
    <row r="34" spans="2:29" ht="15" customHeight="1">
      <c r="B34" s="40" t="s">
        <v>29</v>
      </c>
      <c r="C34" t="s">
        <v>98</v>
      </c>
      <c r="D34" s="44" t="s">
        <v>79</v>
      </c>
      <c r="E34" t="s">
        <v>98</v>
      </c>
      <c r="J34">
        <v>30</v>
      </c>
    </row>
    <row r="35" spans="2:29" ht="15" customHeight="1">
      <c r="B35" s="40" t="s">
        <v>30</v>
      </c>
      <c r="C35" t="s">
        <v>98</v>
      </c>
      <c r="D35" s="45" t="s">
        <v>80</v>
      </c>
      <c r="E35" t="s">
        <v>98</v>
      </c>
      <c r="J35">
        <v>31</v>
      </c>
    </row>
    <row r="36" spans="2:29" ht="15" customHeight="1">
      <c r="B36" s="40" t="s">
        <v>31</v>
      </c>
      <c r="C36" t="s">
        <v>98</v>
      </c>
      <c r="D36" s="46" t="s">
        <v>131</v>
      </c>
      <c r="E36" t="s">
        <v>98</v>
      </c>
    </row>
    <row r="37" spans="2:29" ht="15" customHeight="1">
      <c r="B37" s="40" t="s">
        <v>32</v>
      </c>
      <c r="C37" t="s">
        <v>98</v>
      </c>
      <c r="D37" s="44" t="s">
        <v>81</v>
      </c>
      <c r="E37" t="s">
        <v>98</v>
      </c>
    </row>
    <row r="38" spans="2:29" ht="15" customHeight="1">
      <c r="B38" s="40" t="s">
        <v>33</v>
      </c>
      <c r="C38" t="s">
        <v>98</v>
      </c>
      <c r="D38" s="44" t="s">
        <v>82</v>
      </c>
      <c r="E38" t="s">
        <v>98</v>
      </c>
    </row>
    <row r="39" spans="2:29" ht="15" customHeight="1">
      <c r="B39" s="40" t="s">
        <v>34</v>
      </c>
      <c r="C39" t="s">
        <v>98</v>
      </c>
      <c r="D39" s="44" t="s">
        <v>83</v>
      </c>
      <c r="E39" t="s">
        <v>98</v>
      </c>
    </row>
    <row r="40" spans="2:29" ht="15" customHeight="1">
      <c r="B40" s="41" t="s">
        <v>35</v>
      </c>
      <c r="C40" t="s">
        <v>98</v>
      </c>
      <c r="D40" s="44" t="s">
        <v>84</v>
      </c>
      <c r="E40" t="s">
        <v>98</v>
      </c>
    </row>
    <row r="41" spans="2:29" ht="15" customHeight="1">
      <c r="B41" s="40" t="s">
        <v>130</v>
      </c>
      <c r="C41" t="s">
        <v>98</v>
      </c>
      <c r="D41" s="45" t="s">
        <v>85</v>
      </c>
      <c r="E41" t="s">
        <v>98</v>
      </c>
    </row>
    <row r="42" spans="2:29" ht="15" customHeight="1">
      <c r="B42" s="41" t="s">
        <v>36</v>
      </c>
      <c r="C42" t="s">
        <v>98</v>
      </c>
      <c r="D42" s="44" t="s">
        <v>86</v>
      </c>
      <c r="E42" t="s">
        <v>98</v>
      </c>
    </row>
    <row r="43" spans="2:29" ht="15" customHeight="1">
      <c r="B43" s="40" t="s">
        <v>37</v>
      </c>
      <c r="C43" t="s">
        <v>98</v>
      </c>
      <c r="D43" s="44" t="s">
        <v>87</v>
      </c>
      <c r="E43" t="s">
        <v>98</v>
      </c>
    </row>
    <row r="44" spans="2:29" ht="15" customHeight="1">
      <c r="B44" s="40" t="s">
        <v>38</v>
      </c>
      <c r="C44" t="s">
        <v>98</v>
      </c>
      <c r="D44" s="44" t="s">
        <v>88</v>
      </c>
      <c r="E44" t="s">
        <v>98</v>
      </c>
    </row>
    <row r="45" spans="2:29" ht="15" customHeight="1">
      <c r="B45" s="40" t="s">
        <v>39</v>
      </c>
      <c r="C45" t="s">
        <v>98</v>
      </c>
      <c r="D45" s="44" t="s">
        <v>89</v>
      </c>
      <c r="E45" t="s">
        <v>98</v>
      </c>
    </row>
    <row r="46" spans="2:29" ht="15" customHeight="1">
      <c r="B46" s="40" t="s">
        <v>40</v>
      </c>
      <c r="C46" t="s">
        <v>98</v>
      </c>
      <c r="D46" s="44" t="s">
        <v>90</v>
      </c>
      <c r="E46" t="s">
        <v>98</v>
      </c>
    </row>
    <row r="47" spans="2:29" ht="15" customHeight="1">
      <c r="B47" s="40" t="s">
        <v>41</v>
      </c>
      <c r="C47" t="s">
        <v>98</v>
      </c>
      <c r="D47" s="45" t="s">
        <v>91</v>
      </c>
      <c r="E47" t="s">
        <v>98</v>
      </c>
      <c r="AC47" t="str">
        <f>IF(AC46&gt;=0.7,IF(AC41="OUI",Annexes!S6,IF(AND(AC42="OUI",AC40&gt;=0.8),"- L'entreprise a subi une perte d'au-moins 70 % en Octobre 2020 et est mentionnée en annexe 2 (S1 bis) du"&amp;" décret 2020-1328 ayant aussi eu une perte de CA d'au moins 80 % entre le 15/03/2020 et le 15/05/2020, l'entreprise peut bénéficier à ce titre d'une aide plafonné à 10 000 €","- L'entreprise n'est pas mentionnée en annexe 1 (S1) ou en annexe 2 (S1 bis) du décret 2020-1328 et ayant subi une perte de CA d'au moins 80 % entre le 15/03/2020 et le 15/05/2020, l'entreprise ne peut donc pas bénéficier de cette aide")),IF(AC46&gt;=0.5,IF(AC41="OUI","- L'entreprise a subi une perte d'au-moins 50 % en Octobre 2020 et est mentionnée en annexe 1 (S1) du décret 2020-1328, l'entreprise peut bénéficier à ce titre d'une aide plafonné à 10 000 €",IF(AND(AC42="OUI",AC40&gt;=0.8),"- L'entreprise a subi une perte d'au-moins 50 % en Octobre 2020 et est mentionnée en annexe 2 (S1 bis) du décret 2020-1328 ayant aussi eu une perte de CA d'au moins 80 % entre le 15/03/2020 et le 15/05/2020,"&amp;" l'entreprise peut bénéficier à ce titre d'une aide plafonné à 10 000 €","- L'entreprise n'est pas mentionnée en annexe 1 (S1) ou en annexe 2 (S1 bis) du décret 2020-1328 et ayant subi une perte de CA d'au moins 80 % entre le 15/03/2020 et le 15/05/2020, l'entreprise ne peut donc pas bénéficier de cette aide")),"L'entreprise n'a pas subi de perte d'au moins 50 % sur son CA d'Octobre 2020"))</f>
        <v>L'entreprise n'a pas subi de perte d'au moins 50 % sur son CA d'Octobre 2020</v>
      </c>
    </row>
    <row r="48" spans="2:29" ht="15" customHeight="1">
      <c r="B48" s="40" t="s">
        <v>42</v>
      </c>
      <c r="C48" t="s">
        <v>98</v>
      </c>
      <c r="D48" s="46" t="s">
        <v>144</v>
      </c>
      <c r="E48" t="s">
        <v>98</v>
      </c>
    </row>
    <row r="49" spans="2:5" ht="15" customHeight="1">
      <c r="B49" s="42" t="s">
        <v>135</v>
      </c>
      <c r="C49" t="s">
        <v>98</v>
      </c>
      <c r="D49" s="42" t="s">
        <v>145</v>
      </c>
      <c r="E49" t="s">
        <v>98</v>
      </c>
    </row>
    <row r="50" spans="2:5" ht="15" customHeight="1">
      <c r="B50" s="42" t="s">
        <v>136</v>
      </c>
      <c r="C50" t="s">
        <v>98</v>
      </c>
      <c r="D50" s="42" t="s">
        <v>146</v>
      </c>
      <c r="E50" t="s">
        <v>98</v>
      </c>
    </row>
    <row r="51" spans="2:5" ht="15" customHeight="1">
      <c r="B51" s="40" t="s">
        <v>43</v>
      </c>
      <c r="C51" t="s">
        <v>98</v>
      </c>
      <c r="D51" s="42" t="s">
        <v>147</v>
      </c>
      <c r="E51" t="s">
        <v>98</v>
      </c>
    </row>
    <row r="52" spans="2:5" ht="15" customHeight="1">
      <c r="B52" s="40" t="s">
        <v>44</v>
      </c>
      <c r="C52" t="s">
        <v>98</v>
      </c>
      <c r="D52" s="42" t="s">
        <v>148</v>
      </c>
      <c r="E52" t="s">
        <v>98</v>
      </c>
    </row>
    <row r="53" spans="2:5" ht="15" customHeight="1">
      <c r="B53" s="40" t="s">
        <v>45</v>
      </c>
      <c r="C53" t="s">
        <v>98</v>
      </c>
      <c r="D53" s="42" t="s">
        <v>149</v>
      </c>
      <c r="E53" t="s">
        <v>98</v>
      </c>
    </row>
    <row r="54" spans="2:5" ht="15" customHeight="1">
      <c r="B54" s="40" t="s">
        <v>46</v>
      </c>
      <c r="C54" t="s">
        <v>98</v>
      </c>
      <c r="D54" s="42" t="s">
        <v>150</v>
      </c>
      <c r="E54" t="s">
        <v>98</v>
      </c>
    </row>
    <row r="55" spans="2:5" ht="15" customHeight="1">
      <c r="B55" s="40" t="s">
        <v>47</v>
      </c>
      <c r="C55" t="s">
        <v>98</v>
      </c>
      <c r="D55" s="43" t="s">
        <v>151</v>
      </c>
      <c r="E55" t="s">
        <v>98</v>
      </c>
    </row>
    <row r="56" spans="2:5" ht="15" customHeight="1">
      <c r="B56" s="41" t="s">
        <v>48</v>
      </c>
      <c r="C56" t="s">
        <v>98</v>
      </c>
      <c r="D56" s="43" t="s">
        <v>152</v>
      </c>
      <c r="E56" t="s">
        <v>98</v>
      </c>
    </row>
    <row r="57" spans="2:5" ht="15" customHeight="1">
      <c r="B57" s="42" t="s">
        <v>137</v>
      </c>
      <c r="C57" t="s">
        <v>98</v>
      </c>
      <c r="D57" s="43" t="s">
        <v>153</v>
      </c>
      <c r="E57" t="s">
        <v>98</v>
      </c>
    </row>
    <row r="58" spans="2:5" ht="15" customHeight="1">
      <c r="B58" s="42" t="s">
        <v>138</v>
      </c>
      <c r="C58" t="s">
        <v>98</v>
      </c>
      <c r="D58" s="43" t="s">
        <v>154</v>
      </c>
      <c r="E58" t="s">
        <v>98</v>
      </c>
    </row>
    <row r="59" spans="2:5" ht="15" customHeight="1">
      <c r="B59" s="42" t="s">
        <v>139</v>
      </c>
      <c r="C59" t="s">
        <v>98</v>
      </c>
      <c r="D59" s="43" t="s">
        <v>155</v>
      </c>
      <c r="E59" t="s">
        <v>98</v>
      </c>
    </row>
    <row r="60" spans="2:5" ht="15" customHeight="1">
      <c r="B60" s="42" t="s">
        <v>140</v>
      </c>
      <c r="C60" t="s">
        <v>98</v>
      </c>
      <c r="D60" s="43" t="s">
        <v>156</v>
      </c>
      <c r="E60" t="s">
        <v>98</v>
      </c>
    </row>
    <row r="61" spans="2:5" ht="15" customHeight="1">
      <c r="B61" s="42" t="s">
        <v>141</v>
      </c>
      <c r="C61" t="s">
        <v>98</v>
      </c>
      <c r="D61" s="43" t="s">
        <v>157</v>
      </c>
      <c r="E61" t="s">
        <v>98</v>
      </c>
    </row>
    <row r="62" spans="2:5" ht="15" customHeight="1">
      <c r="B62" s="42" t="s">
        <v>142</v>
      </c>
      <c r="C62" t="s">
        <v>98</v>
      </c>
      <c r="D62" s="43" t="s">
        <v>158</v>
      </c>
      <c r="E62" t="s">
        <v>98</v>
      </c>
    </row>
    <row r="63" spans="2:5" ht="15" customHeight="1">
      <c r="B63" s="43" t="s">
        <v>143</v>
      </c>
      <c r="C63" t="s">
        <v>98</v>
      </c>
      <c r="D63" s="43" t="s">
        <v>159</v>
      </c>
      <c r="E63" t="s">
        <v>98</v>
      </c>
    </row>
    <row r="64" spans="2:5" ht="15" customHeight="1">
      <c r="D64" s="43" t="s">
        <v>160</v>
      </c>
      <c r="E64" t="s">
        <v>98</v>
      </c>
    </row>
    <row r="65" spans="4:5" ht="15" customHeight="1">
      <c r="D65" s="43" t="s">
        <v>161</v>
      </c>
      <c r="E65" t="s">
        <v>98</v>
      </c>
    </row>
    <row r="66" spans="4:5" ht="15" customHeight="1">
      <c r="D66" s="43" t="s">
        <v>162</v>
      </c>
      <c r="E66" t="s">
        <v>98</v>
      </c>
    </row>
    <row r="67" spans="4:5" ht="15" customHeight="1">
      <c r="D67" s="43" t="s">
        <v>163</v>
      </c>
      <c r="E67" t="s">
        <v>98</v>
      </c>
    </row>
    <row r="68" spans="4:5" ht="15" customHeight="1">
      <c r="D68" s="43" t="s">
        <v>164</v>
      </c>
      <c r="E68" t="s">
        <v>98</v>
      </c>
    </row>
    <row r="69" spans="4:5" ht="15" customHeight="1">
      <c r="D69" s="43" t="s">
        <v>165</v>
      </c>
      <c r="E69" t="s">
        <v>98</v>
      </c>
    </row>
    <row r="70" spans="4:5" ht="15" customHeight="1">
      <c r="D70" s="43" t="s">
        <v>166</v>
      </c>
      <c r="E70" t="s">
        <v>98</v>
      </c>
    </row>
    <row r="71" spans="4:5" ht="15" customHeight="1">
      <c r="D71" s="43" t="s">
        <v>167</v>
      </c>
      <c r="E71" t="s">
        <v>98</v>
      </c>
    </row>
    <row r="72" spans="4:5" ht="15" customHeight="1">
      <c r="D72" s="43" t="s">
        <v>168</v>
      </c>
      <c r="E72" t="s">
        <v>98</v>
      </c>
    </row>
    <row r="73" spans="4:5" ht="15" customHeight="1">
      <c r="D73" s="43" t="s">
        <v>169</v>
      </c>
      <c r="E73" t="s">
        <v>98</v>
      </c>
    </row>
    <row r="74" spans="4:5" ht="15" customHeight="1">
      <c r="D74" s="43" t="s">
        <v>170</v>
      </c>
      <c r="E74" t="s">
        <v>98</v>
      </c>
    </row>
    <row r="75" spans="4:5" ht="15" customHeight="1">
      <c r="D75" s="43" t="s">
        <v>171</v>
      </c>
      <c r="E75" t="s">
        <v>98</v>
      </c>
    </row>
    <row r="76" spans="4:5" ht="15" customHeight="1">
      <c r="D76" s="43" t="s">
        <v>172</v>
      </c>
      <c r="E76" t="s">
        <v>98</v>
      </c>
    </row>
    <row r="77" spans="4:5" ht="15" customHeight="1">
      <c r="D77" s="43" t="s">
        <v>173</v>
      </c>
      <c r="E77" t="s">
        <v>98</v>
      </c>
    </row>
    <row r="78" spans="4:5" ht="15" customHeight="1">
      <c r="D78" s="43" t="s">
        <v>174</v>
      </c>
      <c r="E78" t="s">
        <v>98</v>
      </c>
    </row>
    <row r="79" spans="4:5" ht="15" customHeight="1">
      <c r="D79" s="43" t="s">
        <v>175</v>
      </c>
      <c r="E79" t="s">
        <v>98</v>
      </c>
    </row>
    <row r="80" spans="4:5" ht="15" customHeight="1">
      <c r="D80" s="43" t="s">
        <v>176</v>
      </c>
      <c r="E80" t="s">
        <v>98</v>
      </c>
    </row>
    <row r="81" spans="4:5" ht="15" customHeight="1">
      <c r="D81" s="43" t="s">
        <v>177</v>
      </c>
      <c r="E81" t="s">
        <v>98</v>
      </c>
    </row>
    <row r="82" spans="4:5" ht="15" customHeight="1">
      <c r="D82" s="43" t="s">
        <v>178</v>
      </c>
      <c r="E82" t="s">
        <v>98</v>
      </c>
    </row>
    <row r="83" spans="4:5" ht="15" customHeight="1">
      <c r="D83" s="43" t="s">
        <v>179</v>
      </c>
      <c r="E83" t="s">
        <v>98</v>
      </c>
    </row>
    <row r="84" spans="4:5" ht="15" customHeight="1">
      <c r="D84" s="43" t="s">
        <v>180</v>
      </c>
      <c r="E84" t="s">
        <v>98</v>
      </c>
    </row>
    <row r="85" spans="4:5" ht="15" customHeight="1">
      <c r="D85" s="43" t="s">
        <v>181</v>
      </c>
      <c r="E85" t="s">
        <v>98</v>
      </c>
    </row>
    <row r="86" spans="4:5" ht="15" customHeight="1">
      <c r="D86" s="42" t="s">
        <v>182</v>
      </c>
      <c r="E86" t="s">
        <v>98</v>
      </c>
    </row>
    <row r="87" spans="4:5" ht="15" customHeight="1">
      <c r="D87" s="42" t="s">
        <v>183</v>
      </c>
      <c r="E87" t="s">
        <v>98</v>
      </c>
    </row>
    <row r="88" spans="4:5" ht="15" customHeight="1">
      <c r="D88" s="42" t="s">
        <v>184</v>
      </c>
      <c r="E88" t="s">
        <v>98</v>
      </c>
    </row>
    <row r="89" spans="4:5" ht="15" customHeight="1">
      <c r="D89" s="43" t="s">
        <v>185</v>
      </c>
      <c r="E89" t="s">
        <v>98</v>
      </c>
    </row>
  </sheetData>
  <hyperlinks>
    <hyperlink ref="D36" r:id="rId1" tooltip="Code du travail - art. L3132-24 (Ab)" display="https://www.legifrance.gouv.fr/affichCodeArticle.do?cidTexte=LEGITEXT000006072050&amp;idArticle=LEGIARTI000006902603&amp;dateTexte=&amp;categorieLien=cid"/>
    <hyperlink ref="D48" r:id="rId2" tooltip="Décret n°2006-595 du 23 mai 2006 (V)" display="https://www.legifrance.gouv.fr/affichTexte.do?cidTexte=JORFTEXT000000607662&amp;categorieLien=cid"/>
  </hyperlinks>
  <pageMargins left="0.7" right="0.7" top="0.75" bottom="0.75" header="0.3" footer="0.3"/>
  <pageSetup paperSize="9"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Mon Entreprise</vt:lpstr>
      <vt:lpstr>Mes Aides</vt:lpstr>
      <vt:lpstr>Explication des Calculs</vt:lpstr>
      <vt:lpstr>Annexes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2020-11-23T09:12:33Z</dcterms:modified>
</cp:coreProperties>
</file>