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Password="C6BD" lockStructure="1"/>
  <bookViews>
    <workbookView xWindow="-120" yWindow="-120" windowWidth="29040" windowHeight="15840"/>
  </bookViews>
  <sheets>
    <sheet name="Mon Entreprise" sheetId="1" r:id="rId1"/>
    <sheet name="Mes Aides" sheetId="3" r:id="rId2"/>
    <sheet name="Explications des Calculs" sheetId="4" r:id="rId3"/>
    <sheet name="Aides Compl &quot;coûts fixes&quot;" sheetId="5" r:id="rId4"/>
    <sheet name="Annexes" sheetId="2" state="hidden" r:id="rId5"/>
    <sheet name="Feuil2" sheetId="6" state="hidden" r:id="rId6"/>
  </sheets>
  <externalReferences>
    <externalReference r:id="rId7"/>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34" i="5" l="1"/>
  <c r="C229" i="5"/>
  <c r="C226" i="5"/>
  <c r="C225" i="5"/>
  <c r="C224" i="5"/>
  <c r="C223" i="5"/>
  <c r="C220" i="5"/>
  <c r="C212" i="5"/>
  <c r="C207" i="5"/>
  <c r="C198" i="5"/>
  <c r="C190" i="5"/>
  <c r="C185" i="5"/>
  <c r="C180" i="5"/>
  <c r="C202" i="5"/>
  <c r="C176" i="5"/>
  <c r="AM36" i="5"/>
  <c r="AK36" i="5" s="1"/>
  <c r="AM35" i="5"/>
  <c r="AM34" i="5"/>
  <c r="L2" i="5"/>
  <c r="L6" i="5"/>
  <c r="L8" i="5"/>
  <c r="G35" i="5"/>
  <c r="J35" i="5"/>
  <c r="M35" i="5"/>
  <c r="P35" i="5"/>
  <c r="C95" i="5" s="1"/>
  <c r="S35" i="5"/>
  <c r="V35" i="5"/>
  <c r="Y35" i="5"/>
  <c r="AB35" i="5"/>
  <c r="C183" i="5" s="1"/>
  <c r="AE35" i="5"/>
  <c r="C44" i="5"/>
  <c r="C47" i="5"/>
  <c r="AM28" i="5" s="1"/>
  <c r="C48" i="5"/>
  <c r="C49" i="5"/>
  <c r="C53" i="5" s="1"/>
  <c r="C50" i="5"/>
  <c r="C51" i="5"/>
  <c r="C66" i="5"/>
  <c r="C69" i="5"/>
  <c r="AM29" i="5" s="1"/>
  <c r="C70" i="5"/>
  <c r="C71" i="5"/>
  <c r="C72" i="5"/>
  <c r="C73" i="5"/>
  <c r="C88" i="5"/>
  <c r="C91" i="5"/>
  <c r="C92" i="5"/>
  <c r="C93" i="5"/>
  <c r="C94" i="5"/>
  <c r="C110" i="5"/>
  <c r="C113" i="5"/>
  <c r="C114" i="5"/>
  <c r="C115" i="5"/>
  <c r="C116" i="5"/>
  <c r="C132" i="5"/>
  <c r="C135" i="5"/>
  <c r="AM32" i="5" s="1"/>
  <c r="C136" i="5"/>
  <c r="C137" i="5"/>
  <c r="C138" i="5"/>
  <c r="C139" i="5"/>
  <c r="C154" i="5"/>
  <c r="C157" i="5"/>
  <c r="AM33" i="5" s="1"/>
  <c r="C158" i="5"/>
  <c r="C159" i="5"/>
  <c r="C160" i="5"/>
  <c r="C161" i="5"/>
  <c r="C179" i="5"/>
  <c r="C181" i="5"/>
  <c r="C182" i="5"/>
  <c r="C201" i="5"/>
  <c r="C203" i="5"/>
  <c r="C204" i="5"/>
  <c r="C227" i="5"/>
  <c r="AK29" i="5" l="1"/>
  <c r="C80" i="5"/>
  <c r="C146" i="5"/>
  <c r="AK32" i="5"/>
  <c r="C58" i="5"/>
  <c r="AK28" i="5"/>
  <c r="AL28" i="5" s="1"/>
  <c r="AK33" i="5"/>
  <c r="C168" i="5"/>
  <c r="C97" i="5"/>
  <c r="AM30" i="5"/>
  <c r="C163" i="5"/>
  <c r="C141" i="5"/>
  <c r="C75" i="5"/>
  <c r="C205" i="5"/>
  <c r="C117" i="5"/>
  <c r="C119" i="5" s="1"/>
  <c r="AB674" i="4"/>
  <c r="AB694" i="4" s="1"/>
  <c r="AE662" i="4"/>
  <c r="AB662" i="4"/>
  <c r="Y662" i="4"/>
  <c r="AB612" i="4"/>
  <c r="AB632" i="4" s="1"/>
  <c r="AE600" i="4"/>
  <c r="AB600" i="4"/>
  <c r="Y600" i="4"/>
  <c r="AB552" i="4"/>
  <c r="AB572" i="4" s="1"/>
  <c r="AE540" i="4"/>
  <c r="AB540" i="4"/>
  <c r="Y540" i="4"/>
  <c r="AB494" i="4"/>
  <c r="AB513" i="4" s="1"/>
  <c r="AE482" i="4"/>
  <c r="AB482" i="4"/>
  <c r="Y482" i="4"/>
  <c r="AB446" i="4"/>
  <c r="AB445" i="4"/>
  <c r="AB444" i="4"/>
  <c r="AB443" i="4"/>
  <c r="AB442" i="4"/>
  <c r="AB429" i="4"/>
  <c r="AB448" i="4" s="1"/>
  <c r="AE418" i="4"/>
  <c r="AB418" i="4"/>
  <c r="Y418" i="4"/>
  <c r="AB382" i="4"/>
  <c r="AB381" i="4"/>
  <c r="AB380" i="4"/>
  <c r="AB379" i="4"/>
  <c r="AB378" i="4"/>
  <c r="AB365" i="4"/>
  <c r="AE354" i="4"/>
  <c r="AB354" i="4"/>
  <c r="Y354" i="4"/>
  <c r="AB318" i="4"/>
  <c r="AB317" i="4"/>
  <c r="AB316" i="4"/>
  <c r="AB315" i="4"/>
  <c r="AB314" i="4"/>
  <c r="AB301" i="4"/>
  <c r="AB320" i="4" s="1"/>
  <c r="AE290" i="4"/>
  <c r="AB290" i="4"/>
  <c r="Y290" i="4"/>
  <c r="AB259" i="4"/>
  <c r="AB258" i="4"/>
  <c r="AB257" i="4"/>
  <c r="AB256" i="4"/>
  <c r="AB255" i="4"/>
  <c r="AB254" i="4"/>
  <c r="AB241" i="4"/>
  <c r="AE233" i="4"/>
  <c r="AB233" i="4"/>
  <c r="Y233" i="4"/>
  <c r="AB203" i="4"/>
  <c r="AB202" i="4"/>
  <c r="AB201" i="4"/>
  <c r="AB200" i="4"/>
  <c r="AB199" i="4"/>
  <c r="AB187" i="4"/>
  <c r="AE179" i="4"/>
  <c r="AB179" i="4"/>
  <c r="Y179" i="4"/>
  <c r="AB149" i="4"/>
  <c r="AB148" i="4"/>
  <c r="AB147" i="4"/>
  <c r="AB146" i="4"/>
  <c r="AB134" i="4"/>
  <c r="AE126" i="4"/>
  <c r="AB126" i="4"/>
  <c r="Y126" i="4"/>
  <c r="D119" i="4"/>
  <c r="AB110" i="4"/>
  <c r="AB109" i="4"/>
  <c r="AB108" i="4"/>
  <c r="AB107" i="4"/>
  <c r="AB99" i="4"/>
  <c r="AE94" i="4"/>
  <c r="AB94" i="4"/>
  <c r="Y94" i="4"/>
  <c r="AB84" i="4"/>
  <c r="AB83" i="4"/>
  <c r="AB82" i="4"/>
  <c r="AE78" i="4"/>
  <c r="AB78" i="4"/>
  <c r="Y78" i="4"/>
  <c r="AE77" i="4"/>
  <c r="AB77" i="4"/>
  <c r="Y77" i="4"/>
  <c r="E77" i="4"/>
  <c r="D76" i="4"/>
  <c r="D51" i="4"/>
  <c r="AB50" i="4"/>
  <c r="AB60" i="4" s="1"/>
  <c r="AB48" i="4"/>
  <c r="AB47" i="4"/>
  <c r="AE42" i="4"/>
  <c r="AB42" i="4"/>
  <c r="Y42" i="4"/>
  <c r="AB31" i="4"/>
  <c r="AB30" i="4"/>
  <c r="AB29" i="4"/>
  <c r="E26" i="4"/>
  <c r="AE25" i="4"/>
  <c r="AB25" i="4"/>
  <c r="Y25" i="4"/>
  <c r="D25" i="4"/>
  <c r="AE24" i="4"/>
  <c r="AB24" i="4"/>
  <c r="Y24" i="4"/>
  <c r="AE662" i="3"/>
  <c r="AB662" i="3"/>
  <c r="Y662" i="3"/>
  <c r="AB674" i="3"/>
  <c r="AB694" i="3" s="1"/>
  <c r="AK35" i="5" l="1"/>
  <c r="AK30" i="5"/>
  <c r="C102" i="5"/>
  <c r="C234" i="5"/>
  <c r="AM31" i="5"/>
  <c r="AL29" i="5"/>
  <c r="D29" i="4"/>
  <c r="D80" i="4"/>
  <c r="AB62" i="4"/>
  <c r="AB384" i="4"/>
  <c r="D56" i="4"/>
  <c r="AK31" i="5" l="1"/>
  <c r="C124" i="5"/>
  <c r="AL30" i="5"/>
  <c r="AE600" i="3"/>
  <c r="AB600" i="3"/>
  <c r="Y600" i="3"/>
  <c r="AB612" i="3"/>
  <c r="AL31" i="5" l="1"/>
  <c r="AL32" i="5" s="1"/>
  <c r="AL33" i="5" s="1"/>
  <c r="AL34" i="5" s="1"/>
  <c r="AL35" i="5" s="1"/>
  <c r="AL36" i="5" s="1"/>
  <c r="AB632" i="3"/>
  <c r="AB552" i="3" l="1"/>
  <c r="I148" i="1"/>
  <c r="AE540" i="3"/>
  <c r="AB540" i="3"/>
  <c r="Y540" i="3"/>
  <c r="AE482" i="3"/>
  <c r="AB482" i="3"/>
  <c r="Y482" i="3"/>
  <c r="AB494" i="3"/>
  <c r="Y664" i="3" l="1"/>
  <c r="AE664" i="4"/>
  <c r="AE602" i="4"/>
  <c r="AB542" i="4"/>
  <c r="AB484" i="4"/>
  <c r="Y420" i="4"/>
  <c r="AB664" i="3"/>
  <c r="AB664" i="4"/>
  <c r="AB602" i="4"/>
  <c r="Y542" i="4"/>
  <c r="Y484" i="4"/>
  <c r="AE356" i="4"/>
  <c r="AE664" i="3"/>
  <c r="AE542" i="4"/>
  <c r="AE484" i="4"/>
  <c r="Y664" i="4"/>
  <c r="Y602" i="4"/>
  <c r="AE420" i="4"/>
  <c r="AB356" i="4"/>
  <c r="AB420" i="4"/>
  <c r="Y356" i="4"/>
  <c r="AE602" i="3"/>
  <c r="AB602" i="3"/>
  <c r="AE356" i="3"/>
  <c r="Y602" i="3"/>
  <c r="AB513" i="3"/>
  <c r="AB572" i="3"/>
  <c r="AE420" i="3"/>
  <c r="AE484" i="3"/>
  <c r="AB420" i="3"/>
  <c r="Y542" i="3"/>
  <c r="Y484" i="3"/>
  <c r="AB542" i="3"/>
  <c r="Y420" i="3"/>
  <c r="AB484" i="3"/>
  <c r="AE542" i="3"/>
  <c r="Y356" i="3"/>
  <c r="AB356" i="3"/>
  <c r="Z48" i="2"/>
  <c r="AB446" i="3"/>
  <c r="AB445" i="3"/>
  <c r="AB444" i="3"/>
  <c r="AB443" i="3"/>
  <c r="AB442" i="3"/>
  <c r="AB429" i="3"/>
  <c r="AE418" i="3"/>
  <c r="AB418" i="3"/>
  <c r="Y418" i="3"/>
  <c r="AB382" i="3"/>
  <c r="AB381" i="3"/>
  <c r="AB380" i="3"/>
  <c r="AB379" i="3"/>
  <c r="AB378" i="3"/>
  <c r="AB365" i="3"/>
  <c r="AE354" i="3"/>
  <c r="AB354" i="3"/>
  <c r="Y354" i="3"/>
  <c r="AB318" i="3"/>
  <c r="AB317" i="3"/>
  <c r="AB316" i="3"/>
  <c r="AB315" i="3"/>
  <c r="AB314" i="3"/>
  <c r="AB301" i="3"/>
  <c r="AB320" i="3" s="1"/>
  <c r="AE290" i="3"/>
  <c r="AB290" i="3"/>
  <c r="Y290" i="3"/>
  <c r="AB259" i="3"/>
  <c r="AB258" i="3"/>
  <c r="AB257" i="3"/>
  <c r="AB256" i="3"/>
  <c r="AB255" i="3"/>
  <c r="AB254" i="3"/>
  <c r="AB241" i="3"/>
  <c r="AE233" i="3"/>
  <c r="AB233" i="3"/>
  <c r="Y233" i="3"/>
  <c r="AB203" i="3"/>
  <c r="AB202" i="3"/>
  <c r="AB201" i="3"/>
  <c r="AB200" i="3"/>
  <c r="AB199" i="3"/>
  <c r="AB187" i="3"/>
  <c r="AE179" i="3"/>
  <c r="AB179" i="3"/>
  <c r="Y179" i="3"/>
  <c r="AB149" i="3"/>
  <c r="AB148" i="3"/>
  <c r="AB147" i="3"/>
  <c r="AB146" i="3"/>
  <c r="AB134" i="3"/>
  <c r="AE126" i="3"/>
  <c r="AB126" i="3"/>
  <c r="Y126" i="3"/>
  <c r="D119" i="3"/>
  <c r="AB110" i="3"/>
  <c r="AB109" i="3"/>
  <c r="AB108" i="3"/>
  <c r="AB107" i="3"/>
  <c r="AB99" i="3"/>
  <c r="AE94" i="3"/>
  <c r="AB94" i="3"/>
  <c r="Y94" i="3"/>
  <c r="AB84" i="3"/>
  <c r="AB83" i="3"/>
  <c r="AB82" i="3"/>
  <c r="AE78" i="3"/>
  <c r="AB78" i="3"/>
  <c r="Y78" i="3"/>
  <c r="AE77" i="3"/>
  <c r="AB77" i="3"/>
  <c r="Y77" i="3"/>
  <c r="E77" i="3"/>
  <c r="D76" i="3"/>
  <c r="D51" i="3"/>
  <c r="AB50" i="3"/>
  <c r="AB60" i="3" s="1"/>
  <c r="AB48" i="3"/>
  <c r="AB47" i="3"/>
  <c r="AE42" i="3"/>
  <c r="AB42" i="3"/>
  <c r="Y42" i="3"/>
  <c r="AB31" i="3"/>
  <c r="AB30" i="3"/>
  <c r="AB29" i="3"/>
  <c r="E26" i="3"/>
  <c r="AE25" i="3"/>
  <c r="AB25" i="3"/>
  <c r="Y25" i="3"/>
  <c r="D25" i="3"/>
  <c r="AE24" i="3"/>
  <c r="AB24" i="3"/>
  <c r="Y24" i="3"/>
  <c r="E195" i="1"/>
  <c r="I194" i="1"/>
  <c r="F194" i="1"/>
  <c r="E193" i="1"/>
  <c r="E192" i="1"/>
  <c r="I190" i="1"/>
  <c r="F190" i="1"/>
  <c r="E188" i="1"/>
  <c r="I185" i="1"/>
  <c r="F185" i="1"/>
  <c r="E183" i="1"/>
  <c r="E182" i="1"/>
  <c r="E181" i="1"/>
  <c r="I178" i="1"/>
  <c r="F178" i="1"/>
  <c r="I177" i="1"/>
  <c r="F177" i="1"/>
  <c r="I176" i="1"/>
  <c r="F176" i="1"/>
  <c r="E174" i="1"/>
  <c r="E173" i="1"/>
  <c r="E172" i="1"/>
  <c r="I169" i="1"/>
  <c r="F169" i="1"/>
  <c r="E167" i="1"/>
  <c r="E166" i="1"/>
  <c r="E165" i="1"/>
  <c r="I162" i="1"/>
  <c r="F162" i="1"/>
  <c r="E161" i="1"/>
  <c r="E160" i="1"/>
  <c r="E159" i="1"/>
  <c r="E158" i="1"/>
  <c r="I155" i="1"/>
  <c r="F155" i="1"/>
  <c r="E154" i="1"/>
  <c r="E153" i="1"/>
  <c r="E152" i="1"/>
  <c r="E151" i="1"/>
  <c r="F148" i="1"/>
  <c r="E146" i="1"/>
  <c r="E145" i="1"/>
  <c r="E144" i="1"/>
  <c r="E142" i="1"/>
  <c r="E119" i="1"/>
  <c r="J118" i="1"/>
  <c r="E110" i="1"/>
  <c r="E109" i="1"/>
  <c r="E107" i="1"/>
  <c r="E106" i="1"/>
  <c r="M98" i="1"/>
  <c r="I98" i="1"/>
  <c r="F98" i="1"/>
  <c r="E97" i="1"/>
  <c r="J96" i="1"/>
  <c r="E50" i="1"/>
  <c r="E48" i="1"/>
  <c r="E45" i="1"/>
  <c r="E27" i="1"/>
  <c r="E25" i="1"/>
  <c r="E22" i="1"/>
  <c r="Y128" i="4" l="1"/>
  <c r="AB128" i="4"/>
  <c r="AE128" i="4"/>
  <c r="Y292" i="4"/>
  <c r="AB292" i="4"/>
  <c r="AE292" i="4"/>
  <c r="AB96" i="4"/>
  <c r="AB44" i="4"/>
  <c r="Y96" i="4"/>
  <c r="Y44" i="4"/>
  <c r="AE96" i="4"/>
  <c r="AE44" i="4"/>
  <c r="AB79" i="4"/>
  <c r="Y79" i="4"/>
  <c r="AE79" i="4"/>
  <c r="AB79" i="3"/>
  <c r="AE79" i="3"/>
  <c r="AB686" i="3"/>
  <c r="AB198" i="4"/>
  <c r="AB624" i="4"/>
  <c r="AB505" i="4"/>
  <c r="AB252" i="4"/>
  <c r="AB440" i="4"/>
  <c r="AB686" i="4"/>
  <c r="AB376" i="4"/>
  <c r="AB312" i="4"/>
  <c r="AB564" i="4"/>
  <c r="AB145" i="4"/>
  <c r="AB663" i="3"/>
  <c r="AB676" i="3" s="1"/>
  <c r="AB663" i="4"/>
  <c r="AB601" i="4"/>
  <c r="AB614" i="4" s="1"/>
  <c r="Y541" i="4"/>
  <c r="AB553" i="4" s="1"/>
  <c r="Y483" i="4"/>
  <c r="AB495" i="4" s="1"/>
  <c r="AE355" i="4"/>
  <c r="AB234" i="4"/>
  <c r="Y95" i="4"/>
  <c r="Y43" i="4"/>
  <c r="Y663" i="4"/>
  <c r="AB675" i="4" s="1"/>
  <c r="Y601" i="4"/>
  <c r="AB613" i="4" s="1"/>
  <c r="AE419" i="4"/>
  <c r="AB355" i="4"/>
  <c r="AB367" i="4" s="1"/>
  <c r="D411" i="4" s="1"/>
  <c r="AE291" i="4"/>
  <c r="Y234" i="4"/>
  <c r="AE180" i="4"/>
  <c r="AE127" i="4"/>
  <c r="AE601" i="4"/>
  <c r="AB541" i="4"/>
  <c r="AB576" i="4" s="1"/>
  <c r="AB483" i="4"/>
  <c r="Y419" i="4"/>
  <c r="AB430" i="4" s="1"/>
  <c r="Y291" i="4"/>
  <c r="Y180" i="4"/>
  <c r="AB43" i="4"/>
  <c r="AE541" i="4"/>
  <c r="AE483" i="4"/>
  <c r="D527" i="4" s="1"/>
  <c r="AB419" i="4"/>
  <c r="AB431" i="4" s="1"/>
  <c r="D475" i="4" s="1"/>
  <c r="Y355" i="4"/>
  <c r="AB366" i="4" s="1"/>
  <c r="AB374" i="4" s="1"/>
  <c r="AB291" i="4"/>
  <c r="AB180" i="4"/>
  <c r="AB127" i="4"/>
  <c r="AE95" i="4"/>
  <c r="AE43" i="4"/>
  <c r="AE663" i="3"/>
  <c r="AE663" i="4"/>
  <c r="AE234" i="4"/>
  <c r="Y127" i="4"/>
  <c r="AB95" i="4"/>
  <c r="AE235" i="4"/>
  <c r="Y181" i="4"/>
  <c r="AB235" i="4"/>
  <c r="Y235" i="4"/>
  <c r="AE181" i="4"/>
  <c r="AB181" i="4"/>
  <c r="AE26" i="4"/>
  <c r="Y26" i="4"/>
  <c r="AB26" i="4"/>
  <c r="AB615" i="4"/>
  <c r="AB514" i="4"/>
  <c r="AB518" i="4" s="1"/>
  <c r="AB515" i="4"/>
  <c r="AB496" i="4"/>
  <c r="AB517" i="4"/>
  <c r="Y663" i="3"/>
  <c r="AB675" i="3" s="1"/>
  <c r="AB684" i="3" s="1"/>
  <c r="AB601" i="3"/>
  <c r="AE601" i="3"/>
  <c r="AB624" i="3"/>
  <c r="Y601" i="3"/>
  <c r="AB613" i="3" s="1"/>
  <c r="D29" i="3"/>
  <c r="AB448" i="3"/>
  <c r="AE128" i="3"/>
  <c r="AE483" i="3"/>
  <c r="AB541" i="3"/>
  <c r="Y541" i="3"/>
  <c r="AB553" i="3" s="1"/>
  <c r="AB564" i="3"/>
  <c r="AE541" i="3"/>
  <c r="AB505" i="3"/>
  <c r="Y26" i="3"/>
  <c r="AB26" i="3"/>
  <c r="AB32" i="3" s="1"/>
  <c r="AE26" i="3"/>
  <c r="Y79" i="3"/>
  <c r="AB483" i="3"/>
  <c r="AE95" i="3"/>
  <c r="Y483" i="3"/>
  <c r="AB495" i="3" s="1"/>
  <c r="AB62" i="3"/>
  <c r="D56" i="3"/>
  <c r="AB128" i="3"/>
  <c r="AB181" i="3"/>
  <c r="D80" i="3"/>
  <c r="AB419" i="3"/>
  <c r="AB291" i="3"/>
  <c r="Y234" i="3"/>
  <c r="AB127" i="3"/>
  <c r="Y95" i="3"/>
  <c r="AB234" i="3"/>
  <c r="AE180" i="3"/>
  <c r="AB95" i="3"/>
  <c r="AB43" i="3"/>
  <c r="Y355" i="3"/>
  <c r="AB366" i="3" s="1"/>
  <c r="AB312" i="3"/>
  <c r="AE419" i="3"/>
  <c r="AE355" i="3"/>
  <c r="AE291" i="3"/>
  <c r="AB180" i="3"/>
  <c r="AB204" i="3" s="1"/>
  <c r="AE127" i="3"/>
  <c r="Y43" i="3"/>
  <c r="I118" i="1"/>
  <c r="Y419" i="3"/>
  <c r="AB430" i="3" s="1"/>
  <c r="AB355" i="3"/>
  <c r="AB367" i="3" s="1"/>
  <c r="D411" i="3" s="1"/>
  <c r="Y291" i="3"/>
  <c r="Y180" i="3"/>
  <c r="Y127" i="3"/>
  <c r="AE43" i="3"/>
  <c r="AE234" i="3"/>
  <c r="AE292" i="3"/>
  <c r="Y292" i="3"/>
  <c r="AB292" i="3"/>
  <c r="AB96" i="3"/>
  <c r="AB44" i="3"/>
  <c r="AE96" i="3"/>
  <c r="AE44" i="3"/>
  <c r="Y96" i="3"/>
  <c r="Y44" i="3"/>
  <c r="AE181" i="3"/>
  <c r="Y235" i="3"/>
  <c r="AB440" i="3"/>
  <c r="AB376" i="3"/>
  <c r="AB252" i="3"/>
  <c r="AB235" i="3"/>
  <c r="Y181" i="3"/>
  <c r="AE235" i="3"/>
  <c r="AB384" i="3"/>
  <c r="D78" i="3"/>
  <c r="AB85" i="3"/>
  <c r="Y128" i="3"/>
  <c r="AB145" i="3"/>
  <c r="AB198" i="3"/>
  <c r="D384" i="4" l="1"/>
  <c r="AB497" i="4"/>
  <c r="D495" i="4"/>
  <c r="D675" i="3"/>
  <c r="AB385" i="4"/>
  <c r="AB263" i="4"/>
  <c r="AB554" i="4"/>
  <c r="D613" i="4"/>
  <c r="AB242" i="4"/>
  <c r="AB251" i="4" s="1"/>
  <c r="D553" i="4"/>
  <c r="D512" i="4"/>
  <c r="AB636" i="4"/>
  <c r="D631" i="4"/>
  <c r="AB555" i="4"/>
  <c r="AB449" i="4"/>
  <c r="D465" i="4"/>
  <c r="D447" i="4"/>
  <c r="AB633" i="4"/>
  <c r="AB637" i="4" s="1"/>
  <c r="AB634" i="4"/>
  <c r="AB628" i="4" s="1"/>
  <c r="D571" i="4"/>
  <c r="D430" i="4"/>
  <c r="AB189" i="4"/>
  <c r="D27" i="3"/>
  <c r="AB111" i="4"/>
  <c r="AB685" i="4"/>
  <c r="AB684" i="4"/>
  <c r="AB439" i="4"/>
  <c r="AB438" i="4"/>
  <c r="AB451" i="4" s="1"/>
  <c r="AB623" i="4"/>
  <c r="AB622" i="4"/>
  <c r="AB562" i="4"/>
  <c r="AB563" i="4"/>
  <c r="D676" i="4"/>
  <c r="D711" i="4"/>
  <c r="D694" i="4"/>
  <c r="D675" i="4"/>
  <c r="AB677" i="4"/>
  <c r="AB375" i="4"/>
  <c r="E380" i="4" s="1"/>
  <c r="D320" i="4"/>
  <c r="D338" i="4"/>
  <c r="D303" i="4"/>
  <c r="D402" i="4"/>
  <c r="D367" i="4"/>
  <c r="D710" i="3"/>
  <c r="D676" i="3"/>
  <c r="D711" i="3"/>
  <c r="D694" i="3"/>
  <c r="D693" i="3"/>
  <c r="D366" i="4"/>
  <c r="AB386" i="4"/>
  <c r="AB696" i="4"/>
  <c r="AB693" i="4" s="1"/>
  <c r="AB695" i="4"/>
  <c r="AB699" i="4" s="1"/>
  <c r="D648" i="4"/>
  <c r="AB188" i="4"/>
  <c r="AB197" i="4" s="1"/>
  <c r="D528" i="4"/>
  <c r="D496" i="4"/>
  <c r="D513" i="4"/>
  <c r="AB574" i="4"/>
  <c r="AB568" i="4" s="1"/>
  <c r="AB452" i="4"/>
  <c r="AB677" i="3"/>
  <c r="AB368" i="4"/>
  <c r="D370" i="4" s="1"/>
  <c r="D383" i="4"/>
  <c r="AB46" i="4"/>
  <c r="AB676" i="4"/>
  <c r="D693" i="4"/>
  <c r="AB135" i="4"/>
  <c r="AB144" i="4" s="1"/>
  <c r="D431" i="4"/>
  <c r="D466" i="4"/>
  <c r="D448" i="4"/>
  <c r="D587" i="4"/>
  <c r="D572" i="4"/>
  <c r="D554" i="4"/>
  <c r="D632" i="4"/>
  <c r="D614" i="4"/>
  <c r="D649" i="4"/>
  <c r="D586" i="4"/>
  <c r="AB573" i="4"/>
  <c r="AB577" i="4" s="1"/>
  <c r="AB450" i="4"/>
  <c r="AB432" i="4"/>
  <c r="D434" i="4" s="1"/>
  <c r="AB695" i="3"/>
  <c r="AB699" i="3" s="1"/>
  <c r="D401" i="4"/>
  <c r="AB388" i="4"/>
  <c r="AB106" i="4"/>
  <c r="AB302" i="4"/>
  <c r="AB310" i="4" s="1"/>
  <c r="AB698" i="4"/>
  <c r="D710" i="4"/>
  <c r="D66" i="4"/>
  <c r="AB51" i="4"/>
  <c r="AB52" i="4"/>
  <c r="AB55" i="4"/>
  <c r="D54" i="4"/>
  <c r="AB311" i="4"/>
  <c r="AB100" i="4"/>
  <c r="D112" i="4"/>
  <c r="AB101" i="4"/>
  <c r="D100" i="4"/>
  <c r="AB112" i="4"/>
  <c r="AB114" i="4"/>
  <c r="AB32" i="4"/>
  <c r="D27" i="4"/>
  <c r="AB398" i="4"/>
  <c r="AB302" i="3"/>
  <c r="AB310" i="3" s="1"/>
  <c r="AB512" i="4"/>
  <c r="AB509" i="4"/>
  <c r="AB510" i="4"/>
  <c r="AB511" i="4"/>
  <c r="AB508" i="4"/>
  <c r="AB630" i="4"/>
  <c r="AB627" i="4"/>
  <c r="AB629" i="4"/>
  <c r="AB631" i="4"/>
  <c r="AB243" i="4"/>
  <c r="AB260" i="4"/>
  <c r="D244" i="4"/>
  <c r="AB261" i="4"/>
  <c r="D259" i="4"/>
  <c r="AB244" i="4"/>
  <c r="D275" i="4"/>
  <c r="AB503" i="4"/>
  <c r="AB504" i="4"/>
  <c r="E398" i="4"/>
  <c r="AB204" i="4"/>
  <c r="D205" i="4"/>
  <c r="AB190" i="4"/>
  <c r="D192" i="4"/>
  <c r="AB207" i="4"/>
  <c r="AB205" i="4"/>
  <c r="D219" i="4"/>
  <c r="AB567" i="4"/>
  <c r="D404" i="4"/>
  <c r="D136" i="4"/>
  <c r="D163" i="4"/>
  <c r="AB151" i="4"/>
  <c r="AB136" i="4"/>
  <c r="AB153" i="4"/>
  <c r="AB137" i="4"/>
  <c r="AB150" i="4"/>
  <c r="D149" i="4"/>
  <c r="D78" i="4"/>
  <c r="AB85" i="4"/>
  <c r="D302" i="4"/>
  <c r="AB322" i="4"/>
  <c r="AB304" i="4"/>
  <c r="AB321" i="4"/>
  <c r="AB303" i="4"/>
  <c r="D347" i="4" s="1"/>
  <c r="AB324" i="4"/>
  <c r="D337" i="4"/>
  <c r="D319" i="4"/>
  <c r="AB143" i="4"/>
  <c r="AB685" i="3"/>
  <c r="AB696" i="3"/>
  <c r="AB698" i="3"/>
  <c r="D632" i="3"/>
  <c r="D631" i="3"/>
  <c r="D649" i="3"/>
  <c r="D613" i="3"/>
  <c r="D614" i="3"/>
  <c r="AB633" i="3"/>
  <c r="AB637" i="3" s="1"/>
  <c r="AB615" i="3"/>
  <c r="AB634" i="3"/>
  <c r="AB631" i="3" s="1"/>
  <c r="AB614" i="3"/>
  <c r="D648" i="3"/>
  <c r="AB636" i="3"/>
  <c r="AB623" i="3"/>
  <c r="AB622" i="3"/>
  <c r="D554" i="3"/>
  <c r="D553" i="3"/>
  <c r="D572" i="3"/>
  <c r="AB497" i="3"/>
  <c r="AB496" i="3"/>
  <c r="D496" i="3"/>
  <c r="D495" i="3"/>
  <c r="D528" i="3"/>
  <c r="D513" i="3"/>
  <c r="D587" i="3"/>
  <c r="D586" i="3"/>
  <c r="AB368" i="3"/>
  <c r="AB562" i="3"/>
  <c r="AB563" i="3"/>
  <c r="AB574" i="3"/>
  <c r="AB576" i="3"/>
  <c r="AB554" i="3"/>
  <c r="D571" i="3"/>
  <c r="AB573" i="3"/>
  <c r="AB577" i="3" s="1"/>
  <c r="AB555" i="3"/>
  <c r="D192" i="3"/>
  <c r="D448" i="3"/>
  <c r="AB114" i="3"/>
  <c r="D447" i="3"/>
  <c r="AB137" i="3"/>
  <c r="AB514" i="3"/>
  <c r="D527" i="3"/>
  <c r="D512" i="3"/>
  <c r="AB135" i="3"/>
  <c r="AB143" i="3" s="1"/>
  <c r="D319" i="3"/>
  <c r="AB188" i="3"/>
  <c r="AB196" i="3" s="1"/>
  <c r="AB260" i="3"/>
  <c r="D54" i="3"/>
  <c r="AB51" i="3"/>
  <c r="AB242" i="3"/>
  <c r="AB504" i="3"/>
  <c r="AB503" i="3"/>
  <c r="AB207" i="3"/>
  <c r="AB515" i="3"/>
  <c r="AB517" i="3"/>
  <c r="AB243" i="3"/>
  <c r="D384" i="3"/>
  <c r="D383" i="3"/>
  <c r="AB111" i="3"/>
  <c r="D136" i="3"/>
  <c r="AB304" i="3"/>
  <c r="D275" i="3"/>
  <c r="AB450" i="3"/>
  <c r="D219" i="3"/>
  <c r="D366" i="3"/>
  <c r="AB449" i="3"/>
  <c r="AB150" i="3"/>
  <c r="D66" i="3"/>
  <c r="D431" i="3"/>
  <c r="AB322" i="3"/>
  <c r="AB189" i="3"/>
  <c r="AB431" i="3"/>
  <c r="D475" i="3" s="1"/>
  <c r="D244" i="3"/>
  <c r="D205" i="3"/>
  <c r="AB324" i="3"/>
  <c r="D337" i="3"/>
  <c r="AB101" i="3"/>
  <c r="D303" i="3"/>
  <c r="AB100" i="3"/>
  <c r="D402" i="3"/>
  <c r="D466" i="3"/>
  <c r="D430" i="3"/>
  <c r="D465" i="3"/>
  <c r="AB388" i="3"/>
  <c r="AB386" i="3"/>
  <c r="D259" i="3"/>
  <c r="AB106" i="3"/>
  <c r="AB46" i="3"/>
  <c r="AB153" i="3"/>
  <c r="AB55" i="3"/>
  <c r="AB112" i="3"/>
  <c r="D112" i="3"/>
  <c r="D100" i="3"/>
  <c r="AB438" i="3"/>
  <c r="AB439" i="3"/>
  <c r="D149" i="3"/>
  <c r="AB136" i="3"/>
  <c r="AB52" i="3"/>
  <c r="D163" i="3"/>
  <c r="D338" i="3"/>
  <c r="AB321" i="3"/>
  <c r="AB303" i="3"/>
  <c r="D347" i="3" s="1"/>
  <c r="D320" i="3"/>
  <c r="D302" i="3"/>
  <c r="AB151" i="3"/>
  <c r="D401" i="3"/>
  <c r="AB385" i="3"/>
  <c r="D367" i="3"/>
  <c r="AB205" i="3"/>
  <c r="AB190" i="3"/>
  <c r="AB374" i="3"/>
  <c r="AB375" i="3"/>
  <c r="AB261" i="3"/>
  <c r="AB244" i="3"/>
  <c r="AB263" i="3"/>
  <c r="AB452" i="3"/>
  <c r="AB432" i="3"/>
  <c r="AB323" i="4" l="1"/>
  <c r="AB325" i="4" s="1"/>
  <c r="D322" i="4" s="1"/>
  <c r="AB152" i="4"/>
  <c r="D150" i="4"/>
  <c r="E110" i="4"/>
  <c r="D113" i="4"/>
  <c r="AB113" i="4"/>
  <c r="D52" i="4"/>
  <c r="AB49" i="4"/>
  <c r="AB453" i="4"/>
  <c r="D450" i="4" s="1"/>
  <c r="AB387" i="4"/>
  <c r="AB154" i="4"/>
  <c r="D388" i="4"/>
  <c r="AB115" i="4"/>
  <c r="AB389" i="4"/>
  <c r="D386" i="4" s="1"/>
  <c r="E462" i="4"/>
  <c r="D452" i="4"/>
  <c r="AB399" i="4"/>
  <c r="AB250" i="4"/>
  <c r="AB400" i="4"/>
  <c r="AB569" i="4"/>
  <c r="D576" i="4" s="1"/>
  <c r="AB570" i="4"/>
  <c r="AB585" i="4" s="1"/>
  <c r="AB463" i="4"/>
  <c r="D407" i="4"/>
  <c r="AB571" i="4"/>
  <c r="AB583" i="4" s="1"/>
  <c r="AB196" i="4"/>
  <c r="AB462" i="4"/>
  <c r="AB311" i="3"/>
  <c r="E334" i="3" s="1"/>
  <c r="AB690" i="4"/>
  <c r="AB692" i="4"/>
  <c r="AB709" i="4" s="1"/>
  <c r="E444" i="4"/>
  <c r="AB691" i="4"/>
  <c r="AB689" i="4"/>
  <c r="D468" i="4"/>
  <c r="AB464" i="4"/>
  <c r="D419" i="4" s="1"/>
  <c r="D471" i="4"/>
  <c r="AB689" i="3"/>
  <c r="AB693" i="3"/>
  <c r="D680" i="3" s="1"/>
  <c r="AB692" i="3"/>
  <c r="AB709" i="3" s="1"/>
  <c r="AB691" i="3"/>
  <c r="D276" i="4"/>
  <c r="AB272" i="4"/>
  <c r="D262" i="4"/>
  <c r="D618" i="4"/>
  <c r="AB645" i="4"/>
  <c r="AB647" i="4"/>
  <c r="D652" i="4"/>
  <c r="E645" i="4"/>
  <c r="AB160" i="4"/>
  <c r="D138" i="4"/>
  <c r="D517" i="4"/>
  <c r="AB525" i="4"/>
  <c r="E510" i="4"/>
  <c r="AB524" i="4"/>
  <c r="D499" i="4"/>
  <c r="AB118" i="4"/>
  <c r="D115" i="4"/>
  <c r="D164" i="4"/>
  <c r="D152" i="4"/>
  <c r="AB161" i="4"/>
  <c r="AB162" i="4"/>
  <c r="D167" i="4"/>
  <c r="D306" i="4"/>
  <c r="AB334" i="4"/>
  <c r="AB214" i="4"/>
  <c r="D194" i="4"/>
  <c r="AB271" i="4"/>
  <c r="D246" i="4"/>
  <c r="D531" i="4"/>
  <c r="E524" i="4"/>
  <c r="AB526" i="4"/>
  <c r="AB336" i="4"/>
  <c r="E334" i="4"/>
  <c r="E316" i="4"/>
  <c r="AB53" i="4"/>
  <c r="D67" i="4"/>
  <c r="D64" i="4"/>
  <c r="AB54" i="4"/>
  <c r="E147" i="4"/>
  <c r="E161" i="4"/>
  <c r="AB335" i="4"/>
  <c r="D340" i="4"/>
  <c r="D324" i="4"/>
  <c r="D343" i="4"/>
  <c r="D680" i="4"/>
  <c r="AB707" i="4"/>
  <c r="AB215" i="4"/>
  <c r="D208" i="4"/>
  <c r="D636" i="4"/>
  <c r="E629" i="4"/>
  <c r="AB646" i="4"/>
  <c r="E256" i="4"/>
  <c r="E272" i="4"/>
  <c r="AB273" i="4"/>
  <c r="D279" i="4"/>
  <c r="AB117" i="4"/>
  <c r="D92" i="4" s="1"/>
  <c r="D102" i="4"/>
  <c r="AB56" i="4"/>
  <c r="AB61" i="4" s="1"/>
  <c r="D42" i="4" s="1"/>
  <c r="AB690" i="3"/>
  <c r="AB645" i="3"/>
  <c r="D618" i="3"/>
  <c r="AB512" i="3"/>
  <c r="AB508" i="3"/>
  <c r="AB511" i="3"/>
  <c r="AB510" i="3"/>
  <c r="AB509" i="3"/>
  <c r="AB629" i="3"/>
  <c r="AB627" i="3"/>
  <c r="AB628" i="3"/>
  <c r="AB630" i="3"/>
  <c r="AB568" i="3"/>
  <c r="AB570" i="3"/>
  <c r="AB569" i="3"/>
  <c r="AB571" i="3"/>
  <c r="AB583" i="3" s="1"/>
  <c r="AB567" i="3"/>
  <c r="D450" i="3"/>
  <c r="AB464" i="3"/>
  <c r="D558" i="3"/>
  <c r="D434" i="3"/>
  <c r="D138" i="3"/>
  <c r="D370" i="3"/>
  <c r="AB398" i="3"/>
  <c r="AB160" i="3"/>
  <c r="D306" i="3"/>
  <c r="AB144" i="3"/>
  <c r="AB162" i="3" s="1"/>
  <c r="AB197" i="3"/>
  <c r="E203" i="3" s="1"/>
  <c r="AB250" i="3"/>
  <c r="AB251" i="3"/>
  <c r="E462" i="3"/>
  <c r="AB518" i="3"/>
  <c r="AB334" i="3"/>
  <c r="D102" i="3"/>
  <c r="AB117" i="3"/>
  <c r="D407" i="3"/>
  <c r="AB53" i="3"/>
  <c r="D67" i="3"/>
  <c r="D64" i="3"/>
  <c r="AB54" i="3"/>
  <c r="AB56" i="3" s="1"/>
  <c r="AB61" i="3" s="1"/>
  <c r="D42" i="3" s="1"/>
  <c r="AB387" i="3"/>
  <c r="AB389" i="3" s="1"/>
  <c r="AB399" i="3" s="1"/>
  <c r="D386" i="3"/>
  <c r="D404" i="3"/>
  <c r="E380" i="3"/>
  <c r="D246" i="3"/>
  <c r="AB271" i="3"/>
  <c r="AB214" i="3"/>
  <c r="D194" i="3"/>
  <c r="AB323" i="3"/>
  <c r="AB325" i="3" s="1"/>
  <c r="D324" i="3" s="1"/>
  <c r="D322" i="3"/>
  <c r="D343" i="3"/>
  <c r="AB400" i="3"/>
  <c r="AB49" i="3"/>
  <c r="D52" i="3"/>
  <c r="D471" i="3"/>
  <c r="D468" i="3"/>
  <c r="E444" i="3"/>
  <c r="AB462" i="3"/>
  <c r="E398" i="3"/>
  <c r="AB451" i="3"/>
  <c r="AB453" i="3" s="1"/>
  <c r="D452" i="3" s="1"/>
  <c r="D113" i="3"/>
  <c r="E110" i="3"/>
  <c r="AB113" i="3"/>
  <c r="AB115" i="3" s="1"/>
  <c r="D115" i="3" s="1"/>
  <c r="D355" i="4" l="1"/>
  <c r="AB584" i="4"/>
  <c r="D223" i="4"/>
  <c r="AB206" i="4"/>
  <c r="AB208" i="4" s="1"/>
  <c r="D206" i="4"/>
  <c r="AB262" i="4"/>
  <c r="AB264" i="4" s="1"/>
  <c r="D260" i="4"/>
  <c r="D340" i="3"/>
  <c r="E316" i="3"/>
  <c r="AB336" i="3"/>
  <c r="D69" i="4"/>
  <c r="E569" i="4"/>
  <c r="D558" i="4"/>
  <c r="E583" i="4"/>
  <c r="AB216" i="4"/>
  <c r="D590" i="4"/>
  <c r="D220" i="4"/>
  <c r="E203" i="4"/>
  <c r="E217" i="4"/>
  <c r="D171" i="4"/>
  <c r="D698" i="4"/>
  <c r="D714" i="4"/>
  <c r="D714" i="3"/>
  <c r="E707" i="4"/>
  <c r="AB708" i="4"/>
  <c r="D663" i="4" s="1"/>
  <c r="E691" i="4"/>
  <c r="E691" i="3"/>
  <c r="D541" i="4"/>
  <c r="D483" i="4"/>
  <c r="D235" i="4"/>
  <c r="D183" i="4"/>
  <c r="D291" i="4"/>
  <c r="D127" i="4"/>
  <c r="D601" i="4"/>
  <c r="D698" i="3"/>
  <c r="D576" i="3"/>
  <c r="AB708" i="3"/>
  <c r="E707" i="3"/>
  <c r="AB707" i="3"/>
  <c r="AB646" i="3"/>
  <c r="D636" i="3"/>
  <c r="AB647" i="3"/>
  <c r="D652" i="3"/>
  <c r="E629" i="3"/>
  <c r="E569" i="3"/>
  <c r="E645" i="3"/>
  <c r="AB584" i="3"/>
  <c r="E583" i="3"/>
  <c r="AB585" i="3"/>
  <c r="D590" i="3"/>
  <c r="AB206" i="3"/>
  <c r="AB208" i="3" s="1"/>
  <c r="AB215" i="3" s="1"/>
  <c r="AB152" i="3"/>
  <c r="AB154" i="3" s="1"/>
  <c r="AB161" i="3" s="1"/>
  <c r="D127" i="3" s="1"/>
  <c r="D150" i="3"/>
  <c r="D167" i="3"/>
  <c r="D164" i="3"/>
  <c r="D206" i="3"/>
  <c r="D220" i="3"/>
  <c r="D223" i="3"/>
  <c r="AB216" i="3"/>
  <c r="E217" i="3"/>
  <c r="E272" i="3"/>
  <c r="E147" i="3"/>
  <c r="E256" i="3"/>
  <c r="D276" i="3"/>
  <c r="E161" i="3"/>
  <c r="AB463" i="3"/>
  <c r="D419" i="3" s="1"/>
  <c r="AB118" i="3"/>
  <c r="D92" i="3" s="1"/>
  <c r="D69" i="3"/>
  <c r="AB335" i="3"/>
  <c r="D260" i="3"/>
  <c r="D279" i="3"/>
  <c r="AB262" i="3"/>
  <c r="AB264" i="3" s="1"/>
  <c r="AB272" i="3" s="1"/>
  <c r="AB273" i="3"/>
  <c r="D388" i="3"/>
  <c r="D355" i="3"/>
  <c r="D291" i="3" l="1"/>
  <c r="D208" i="3"/>
  <c r="D152" i="3"/>
  <c r="D663" i="3"/>
  <c r="D601" i="3"/>
  <c r="D541" i="3"/>
  <c r="AB525" i="3"/>
  <c r="E524" i="3"/>
  <c r="AB526" i="3"/>
  <c r="D531" i="3"/>
  <c r="E510" i="3"/>
  <c r="D517" i="3"/>
  <c r="D499" i="3"/>
  <c r="AB524" i="3"/>
  <c r="D183" i="3"/>
  <c r="D171" i="3"/>
  <c r="D235" i="3"/>
  <c r="D262" i="3"/>
  <c r="D483" i="3" l="1"/>
</calcChain>
</file>

<file path=xl/sharedStrings.xml><?xml version="1.0" encoding="utf-8"?>
<sst xmlns="http://schemas.openxmlformats.org/spreadsheetml/2006/main" count="1577" uniqueCount="548">
  <si>
    <t>Annexe 1 :</t>
  </si>
  <si>
    <t>Annexe 2 :</t>
  </si>
  <si>
    <t>Jour en Septembre</t>
  </si>
  <si>
    <t>Jour en Octobre</t>
  </si>
  <si>
    <t>Perte de chiffre d'affaire entre le 15/03/2020 et le 15/05/2020 :</t>
  </si>
  <si>
    <t>Date pour les créations d'entreprise</t>
  </si>
  <si>
    <t>CA de référence</t>
  </si>
  <si>
    <t xml:space="preserve"> </t>
  </si>
  <si>
    <t>L'activité est mentionnées en annexe 1 :</t>
  </si>
  <si>
    <t>L'activité est mentionnées en annexe 2 :</t>
  </si>
  <si>
    <t>Septembre</t>
  </si>
  <si>
    <t>Octobre</t>
  </si>
  <si>
    <t>Fermeture Administrative</t>
  </si>
  <si>
    <t>Nb de jour de fermeture Administrative</t>
  </si>
  <si>
    <t>Nom de l'entreprise :</t>
  </si>
  <si>
    <t>Date de création de l'entreprise :</t>
  </si>
  <si>
    <t>- Octobre :</t>
  </si>
  <si>
    <t>- Novembre :</t>
  </si>
  <si>
    <t>- Du 15 Mars au 15 Mai :</t>
  </si>
  <si>
    <t>Aides du fonds de solidarité du mois de Septembre :</t>
  </si>
  <si>
    <t>Calculs des pertes de CA selon :</t>
  </si>
  <si>
    <t>De septembre 2019 :</t>
  </si>
  <si>
    <t>En cas de création :</t>
  </si>
  <si>
    <t>Perte en €</t>
  </si>
  <si>
    <t>Perte en %</t>
  </si>
  <si>
    <t>De l'exercice 2019  :</t>
  </si>
  <si>
    <t>Pré-requis pour les entreprises nouvelles : avoir débuté son activité avant le 30 Septembre 2020</t>
  </si>
  <si>
    <t>De octobre 2019 :</t>
  </si>
  <si>
    <t>* Fermeture administrative du 25 au 30 Septembre 2020 :</t>
  </si>
  <si>
    <t>D'octobre 2019 :</t>
  </si>
  <si>
    <t>Aides du fonds de solidarité du mois de Novembre :</t>
  </si>
  <si>
    <t>Aides du fonds de solidarité du mois d'Octobre :</t>
  </si>
  <si>
    <t xml:space="preserve">Zone de calcul à masquer </t>
  </si>
  <si>
    <t xml:space="preserve">(Sauf Septembre pour les seuls secteurs figurant en Annexes 1 &amp; 2 dans la version au 30/09/2020 du décret 2020-371 du 30 Mars 2020) </t>
  </si>
  <si>
    <t>Ces aides prévues aux articles 3-10, 3-11 et 3-12 ne sont pas cumulables au titre du mois d'octobre 2020.</t>
  </si>
  <si>
    <t>- Encaissé pour les BNC (sauf option Créances-Dettes)</t>
  </si>
  <si>
    <t>Pré-requis pour les entreprises nouvelles : avoir débuté son activité avant le 31 Août 2020</t>
  </si>
  <si>
    <t>* champs obligatoires (sauf si 0 €)</t>
  </si>
  <si>
    <t>Notice :</t>
  </si>
  <si>
    <t>(Activité non mentionnée dans l'annexe 1)</t>
  </si>
  <si>
    <t>(Activité non mentionnée dans l'annexe 2)</t>
  </si>
  <si>
    <t>Chiffre d’Affaires (HT) à retenir :</t>
  </si>
  <si>
    <t>au format jj/mm/aaaa</t>
  </si>
  <si>
    <t>Chiffres d'affaires :</t>
  </si>
  <si>
    <t>Vous pouvez, à la place du CA moyen, compléter vos CA réels des
périodes demandées, en 2019:</t>
  </si>
  <si>
    <t xml:space="preserve">Pensez bien </t>
  </si>
  <si>
    <t>à cocher</t>
  </si>
  <si>
    <t xml:space="preserve">l'une, ou </t>
  </si>
  <si>
    <t>plusieurs,</t>
  </si>
  <si>
    <t>de ces cases</t>
  </si>
  <si>
    <t>Seules les cases en jaune peuvent être complétées</t>
  </si>
  <si>
    <t>Nombre de jours de fermeture administrative entre le 25/09/2020 et le 31/10/2020 :</t>
  </si>
  <si>
    <t>Par simplification (autorisée), nous vous proposons de déterminer le CA mensuel moyen 2019 à partir du CA total de 2019</t>
  </si>
  <si>
    <t>L'activité fait-elle partie de celles énumérées dans les annexes des décrets ? Choisissez….</t>
  </si>
  <si>
    <t>- Facturé pour les BIC/BA/IS</t>
  </si>
  <si>
    <t>PROFESSION :</t>
  </si>
  <si>
    <t>Activités mentionnée à l'Annexe 2 (S1 bis) :</t>
  </si>
  <si>
    <t>Activités mentionnée à l'Annexe 1 (S1) :</t>
  </si>
  <si>
    <t>À cocher en cas d'activité impactée par le couvre-feu (21h - 6 h en Octobre 2020)</t>
  </si>
  <si>
    <t>(new*) : Activité ajoutée sur le Décret 2020-1328 du 2 Novembre 2020</t>
  </si>
  <si>
    <t>Chiffre d'affaires au cours de la période d'interdiction d'accueil du public :</t>
  </si>
  <si>
    <t>Chiffre d'affaires au cours de la même période en 2019 :</t>
  </si>
  <si>
    <t>* Aide de 1 500 € maximum en cas de perte d'au-moins 50 % du CA de Novembre 2020</t>
  </si>
  <si>
    <t>* Aide de 333 € maximum journalier, en cas de Fermeture Administrative au mois d'octobre</t>
  </si>
  <si>
    <t>À cocher en cas de fermeture administrative de Septembre à Octobre :</t>
  </si>
  <si>
    <t>SEULES LES ENTREPRISES DE MOINS DE 50 SALARIÉS PEUVENT EN BÉNÉFICIER :</t>
  </si>
  <si>
    <t>- Notre FAQ sur le sujet (lien ici)</t>
  </si>
  <si>
    <t>Pour plus d'informations :</t>
  </si>
  <si>
    <r>
      <t xml:space="preserve">Selon les éléments renseignés à l'onglet « Mon entreprise », voici le résultat de l'étude </t>
    </r>
    <r>
      <rPr>
        <b/>
        <sz val="11"/>
        <color rgb="FF0D4174"/>
        <rFont val="Wingdings"/>
        <charset val="2"/>
      </rPr>
      <t>J</t>
    </r>
  </si>
  <si>
    <t>Attention, ce fichier est effectué par nos soins mais ne saurait engager notre responsabilité.</t>
  </si>
  <si>
    <t>- Notion de fermeture administrative définie au décret 2020-1310 du 29/10/2020 (lien ici)</t>
  </si>
  <si>
    <t>Plafond en zone de couvre feu :</t>
  </si>
  <si>
    <t>Date de création :</t>
  </si>
  <si>
    <t>Plafond hors zone de couvre feu :</t>
  </si>
  <si>
    <t>Ticket modérateur :</t>
  </si>
  <si>
    <t>Aide couvre feu montant :</t>
  </si>
  <si>
    <t>Aide hors couvre feu montant :</t>
  </si>
  <si>
    <t>Aide fermeture administrative :</t>
  </si>
  <si>
    <t>Nombre de jour de fermeture :</t>
  </si>
  <si>
    <t>Fermeture administrative :</t>
  </si>
  <si>
    <t>CA de référence :</t>
  </si>
  <si>
    <t>Aide de 10 000 € max :</t>
  </si>
  <si>
    <t>Aide de 1 500 € max :</t>
  </si>
  <si>
    <t xml:space="preserve">      Aide cumulable avec le fond de solidarité du mois de Septembre 2020 (décret 2020-371 Articles 3-7 ou 3-9)</t>
  </si>
  <si>
    <t>Perte de référence en € :</t>
  </si>
  <si>
    <t>Perte de référence en % :</t>
  </si>
  <si>
    <t>Le couvre-feu concerne les entreprises listées à l’art. 51 du Décret 2020-1262 du 16 Octobre 2020</t>
  </si>
  <si>
    <t>Année 2019</t>
  </si>
  <si>
    <t>Année 2020</t>
  </si>
  <si>
    <t>Perte de référence :</t>
  </si>
  <si>
    <t xml:space="preserve">Mes Commentaires : </t>
  </si>
  <si>
    <t>Novembre</t>
  </si>
  <si>
    <t>Couvre feu</t>
  </si>
  <si>
    <t>Décembre</t>
  </si>
  <si>
    <t>- Décembre :</t>
  </si>
  <si>
    <t>Aides du fonds de solidarité du mois de Décembre :</t>
  </si>
  <si>
    <t>Ces aides prévues à l'article 3-14 ne sont pas cumulables au titre du mois de Novembre 2020</t>
  </si>
  <si>
    <t>Ces aides prévues aux articles 3-10, 3-11 et 3-12 ne sont pas cumulables au titre du mois d'octobre 2020</t>
  </si>
  <si>
    <t>De Novembre2019 :</t>
  </si>
  <si>
    <t>De Décembre 2019 :</t>
  </si>
  <si>
    <t>* Aide de 1 500 € maximum en cas de perte d'au-moins 50 % du CA de Décembre 2020</t>
  </si>
  <si>
    <t>* Aide de 10 000 € maximum en cas de fermeture Administrative, ou avoir une perte d'au moins 50 % et être l'une des activités mentionnées en annexe 1 ,ou en annexe 2 mais avec une perte de CA d'au moins 80 % entre le 15/03/2020 et le 15/05/2020</t>
  </si>
  <si>
    <t>Perte de chiffre d'affaire au mois de Novembre :</t>
  </si>
  <si>
    <t>Plafond</t>
  </si>
  <si>
    <t>Perte et ticket modérateur :</t>
  </si>
  <si>
    <t>de</t>
  </si>
  <si>
    <t>à</t>
  </si>
  <si>
    <t>(new**) : Activité ajoutée sur le Décret 2020-1620 du 19 Décembre 2020</t>
  </si>
  <si>
    <t>(new**) Magasins de souvenirs et de piété</t>
  </si>
  <si>
    <t>Perte de chiffre d'affaire entre 2019 et 2020 :</t>
  </si>
  <si>
    <t xml:space="preserve"> - CA TOTAL :</t>
  </si>
  <si>
    <t>Annexe 3</t>
  </si>
  <si>
    <t>* Aide de 10 000 € maximum en cas de fermeture Administrative, ou avoir une perte d'au moins 50 % et être l'une des activités mentionnées en annexe 1, ou en annexe 2 ou 3 mais avec une perte de CA d'au moins 80 % entre le 15/03/2020 et le 15/05/2020 ou au mois de Novembre 2020 ou une perte de 10 % entre 2019 et 2020</t>
  </si>
  <si>
    <t>L'activité est mentionnées en annexe 2 ou 3 :</t>
  </si>
  <si>
    <t>* Aide de 15 à 20 % du CA maximum en cas de fermeture Administrative, ou est l'une des activités mentionnées en annexe 1 avec une perte d'au moins 50 %, ou en annexe 2 ou 3 avec une perte d'au moins 70 % et avec une perte de CA d'au moins 80 % entre le 15/03/2020 et le 15/05/2020 ou au mois de Novembre 2020 ou une perte de 10 % entre 2019 et 2020</t>
  </si>
  <si>
    <t>Ces aides prévues de l'article 3-15 à 3-18 ne sont pas cumulables au titre du mois de Décembre 2020</t>
  </si>
  <si>
    <r>
      <t xml:space="preserve">Vous </t>
    </r>
    <r>
      <rPr>
        <b/>
        <u/>
        <sz val="11"/>
        <color rgb="FF0D4174"/>
        <rFont val="Calibri"/>
        <family val="2"/>
        <scheme val="minor"/>
      </rPr>
      <t>devez</t>
    </r>
    <r>
      <rPr>
        <b/>
        <sz val="11"/>
        <color rgb="FF0D4174"/>
        <rFont val="Calibri"/>
        <family val="2"/>
        <scheme val="minor"/>
      </rPr>
      <t>, pour 2020 et 2021, compléter les CA réalisés :</t>
    </r>
  </si>
  <si>
    <t>Année 2021</t>
  </si>
  <si>
    <t>- Janvier :</t>
  </si>
  <si>
    <t>Aides du fonds de solidarité du mois de Janvier :</t>
  </si>
  <si>
    <t>* Aide de 1 500 € maximum en cas de perte d'au-moins 50 % du CA de Janvier 2021</t>
  </si>
  <si>
    <t>De Janvier 2019 :</t>
  </si>
  <si>
    <t>Ces aides prévues à l'article 3-19 ne sont pas cumulables au titre du mois de Janvier 2021</t>
  </si>
  <si>
    <t>Pré-requis pour les entreprises nouvelles : avoir débuté son activité avant le 31 Octobre 2020</t>
  </si>
  <si>
    <t>(new*) ou des entreprises du secteur de l'hôtellerie et de la restauration</t>
  </si>
  <si>
    <t>SUIVI DES AIDES ANNONCÉES 
PAR LE DÉCRET 2020-371</t>
  </si>
  <si>
    <t>1- Téléphériques et remontées mécaniques</t>
  </si>
  <si>
    <t>2- Hôtels et hébergement similaire</t>
  </si>
  <si>
    <t>3- Hébergement touristique et autre hébergement de courte durée</t>
  </si>
  <si>
    <t>4- Terrains de camping et parcs pour caravanes ou véhicules de loisirs</t>
  </si>
  <si>
    <t>5- Restauration traditionnelle</t>
  </si>
  <si>
    <t>6- Cafétérias et autres libres-services</t>
  </si>
  <si>
    <t>7- Restauration de type rapide</t>
  </si>
  <si>
    <t>8- Services de restauration collective sous contrat, de cantines et restaurants d'entreprise</t>
  </si>
  <si>
    <t>9- Services des traiteurs</t>
  </si>
  <si>
    <t>10- Débits de boissons</t>
  </si>
  <si>
    <t>11- Projection de films cinématographiques et autres industries techniques du cinéma et de l'image animée</t>
  </si>
  <si>
    <t>12- Post-production de films cinématographiques, de vidéo et de programmes de télévision</t>
  </si>
  <si>
    <t>13- Distribution de films cinématographiques</t>
  </si>
  <si>
    <t>15- Location et location-bail d'articles de loisirs et de sport</t>
  </si>
  <si>
    <t>16- Activités des agences de voyage</t>
  </si>
  <si>
    <t>17- Activités des voyagistes</t>
  </si>
  <si>
    <t>18- Autres services de réservation et activités connexes</t>
  </si>
  <si>
    <t>19- Organisation de foires, évènements publics ou privés, salons ou séminaires professionnels, congrès</t>
  </si>
  <si>
    <t>20- Agences de mannequins</t>
  </si>
  <si>
    <t>21- Entreprises de détaxe et bureaux de change (changeurs manuels)</t>
  </si>
  <si>
    <t>22- Enseignement de disciplines sportives et d'activités de loisirs</t>
  </si>
  <si>
    <t>24- Activités de soutien au spectacle vivant</t>
  </si>
  <si>
    <t>25- Création artistique relevant des arts plastiques</t>
  </si>
  <si>
    <t>26- Galeries d'art</t>
  </si>
  <si>
    <t>27- Artistes auteurs</t>
  </si>
  <si>
    <t>28- Gestion de salles de spectacles et production de spectacles</t>
  </si>
  <si>
    <t>29- Gestion des musées</t>
  </si>
  <si>
    <t>30- Guides conférenciers</t>
  </si>
  <si>
    <t>31- Gestion des sites et monuments historiques et des attractions touristiques similaires</t>
  </si>
  <si>
    <t>32- Gestion des jardins botaniques et zoologiques et des réserves naturelles</t>
  </si>
  <si>
    <t>33- Gestion d'installations sportives</t>
  </si>
  <si>
    <t>34- Activités de clubs de sports</t>
  </si>
  <si>
    <t>35- Activité des centres de culture physique</t>
  </si>
  <si>
    <t>36- Autres activités liées au sport</t>
  </si>
  <si>
    <t>38- Autres activités récréatives et de loisirs</t>
  </si>
  <si>
    <t>39- Exploitations de casinos</t>
  </si>
  <si>
    <t>40- Entretien corporel</t>
  </si>
  <si>
    <t>41- Trains et chemins de fer touristiques</t>
  </si>
  <si>
    <t>42- Transport transmanche</t>
  </si>
  <si>
    <t>43- Transport aérien de passagers</t>
  </si>
  <si>
    <t>44- Transport de passagers sur les fleuves, les canaux, les lacs, location de bateaux de plaisance</t>
  </si>
  <si>
    <t>47- Transport maritime et côtier de passagers</t>
  </si>
  <si>
    <t>48- Production de films et de programmes pour la télévision</t>
  </si>
  <si>
    <t>49- Production de films institutionnels et publicitaires</t>
  </si>
  <si>
    <t>50- Production de films pour le cinéma</t>
  </si>
  <si>
    <t>51- Activités photographiques</t>
  </si>
  <si>
    <t>52- Enseignement culturel</t>
  </si>
  <si>
    <t xml:space="preserve">60- Agences artistiques de cinéma </t>
  </si>
  <si>
    <t>(new***) 68- Culture de plantes à boissons</t>
  </si>
  <si>
    <t>(new***) 70- Production de boissons alcooliques distillées</t>
  </si>
  <si>
    <t>(new***) 72- Vinification</t>
  </si>
  <si>
    <r>
      <t xml:space="preserve">23- Arts du spectacle vivant, </t>
    </r>
    <r>
      <rPr>
        <sz val="9"/>
        <color theme="5"/>
        <rFont val="DIN Light"/>
      </rPr>
      <t xml:space="preserve">(new**) </t>
    </r>
    <r>
      <rPr>
        <sz val="9"/>
        <color rgb="FFED7D31"/>
        <rFont val="DIN Light"/>
      </rPr>
      <t>cirques</t>
    </r>
  </si>
  <si>
    <t xml:space="preserve">(new**) 61- Fabrication et distribution de matériels scéniques, audiovisuels et évènementiels </t>
  </si>
  <si>
    <t xml:space="preserve">(new**) 62- Exportateurs de films </t>
  </si>
  <si>
    <t xml:space="preserve">(new**) 63- Commissaires d'exposition </t>
  </si>
  <si>
    <t xml:space="preserve">(new**) 64- Scénographes d'exposition </t>
  </si>
  <si>
    <t xml:space="preserve">(new**) 65- Magasins de souvenirs et de piété </t>
  </si>
  <si>
    <t>(new**) 66- Entreprises de covoiturage</t>
  </si>
  <si>
    <t>(new**) 67- Entreprises de transport ferroviaire international de voyageurs</t>
  </si>
  <si>
    <t>(new*) 14- Conseil et assistance opérationnelle apportés aux entreprises et aux autres organisations de distribution de films cinématographiques en matière de relations publiques et de communication</t>
  </si>
  <si>
    <r>
      <t>37- Activités des parcs d'attractions,</t>
    </r>
    <r>
      <rPr>
        <sz val="9"/>
        <color theme="4"/>
        <rFont val="DIN Light"/>
      </rPr>
      <t xml:space="preserve"> (new*) </t>
    </r>
    <r>
      <rPr>
        <sz val="9"/>
        <color rgb="FF5B9BD5"/>
        <rFont val="DIN Light"/>
      </rPr>
      <t xml:space="preserve">fêtes foraines </t>
    </r>
    <r>
      <rPr>
        <sz val="9"/>
        <color theme="1"/>
        <rFont val="DIN Light"/>
      </rPr>
      <t>et parcs à thèmes</t>
    </r>
  </si>
  <si>
    <t>(new*) 45- Transports routiers réguliers de voyageurs</t>
  </si>
  <si>
    <t>(new*) 46- Autres transports routiers de voyageurs</t>
  </si>
  <si>
    <t>(new*) 53- Traducteurs-interprètes</t>
  </si>
  <si>
    <t>(new*) 54- Prestation et location de chapiteaux, tentes, structures, sonorisation, photographie, lumière et pyrotechnie</t>
  </si>
  <si>
    <t>(new*) 55- Transports de voyageurs par taxis et véhicules de tourisme avec chauffeur</t>
  </si>
  <si>
    <t>(new*) 56- Location de courte durée de voitures et de véhicules automobiles légers</t>
  </si>
  <si>
    <t>(new*) 57- Fabrication de structures métalliques et de parties de structures</t>
  </si>
  <si>
    <t>(new*) 58- Régie publicitaire de médias</t>
  </si>
  <si>
    <t>(new*) 59- Accueils collectifs de mineurs en hébergement touristique</t>
  </si>
  <si>
    <t>3- Pêche en mer</t>
  </si>
  <si>
    <t>4- Pêche en eau douce</t>
  </si>
  <si>
    <t>5- Aquaculture en mer</t>
  </si>
  <si>
    <t>6- Aquaculture en eau douce</t>
  </si>
  <si>
    <t>12- Fabrication de bière</t>
  </si>
  <si>
    <t>13- Production de fromages sous appellation d'origine protégée ou indication géographique protégée</t>
  </si>
  <si>
    <t>14- Fabrication de malt</t>
  </si>
  <si>
    <t>15- Centrales d'achat alimentaires</t>
  </si>
  <si>
    <t>16- Autres intermédiaires du commerce en denrées et boissons</t>
  </si>
  <si>
    <t>17- Commerce de gros de fruits et légumes</t>
  </si>
  <si>
    <t>18- Herboristerie/ horticulture/ commerce de gros de fleurs et plans</t>
  </si>
  <si>
    <t>19- Commerce de gros de produits laitiers, œufs, huiles et matières grasses comestibles</t>
  </si>
  <si>
    <t>20- Commerce de gros de boissons</t>
  </si>
  <si>
    <t>21- Mareyage et commerce de gros de poissons, coquillages, crustacés</t>
  </si>
  <si>
    <t>22- Commerce de gros alimentaire spécialisé divers</t>
  </si>
  <si>
    <t>23- Commerce de gros de produits surgelés</t>
  </si>
  <si>
    <t>24- Commerce de gros alimentaire</t>
  </si>
  <si>
    <t>25- Commerce de gros non spécialisé</t>
  </si>
  <si>
    <t>26- Commerce de gros de textiles</t>
  </si>
  <si>
    <t>27- Intermédiaires spécialisés dans le commerce d'autres produits spécifiques</t>
  </si>
  <si>
    <t>28- Commerce de gros d'habillement et de chaussures</t>
  </si>
  <si>
    <t>29- Commerce de gros d'autres biens domestiques</t>
  </si>
  <si>
    <t>30- Commerce de gros de vaisselle, verrerie et produits d'entretien</t>
  </si>
  <si>
    <t>31- Commerce de gros de fournitures et équipements divers pour le commerce et les services</t>
  </si>
  <si>
    <t>33- Blanchisserie-teinturerie de gros</t>
  </si>
  <si>
    <t>34- Stations-service</t>
  </si>
  <si>
    <t>35- Enregistrement sonore et édition musicale</t>
  </si>
  <si>
    <t>36- Editeurs de livres</t>
  </si>
  <si>
    <t>37- Services auxiliaires des transports aériens</t>
  </si>
  <si>
    <t>38- Services auxiliaires de transport par eau</t>
  </si>
  <si>
    <t>39- Boutique des galeries marchandes et des aéroports</t>
  </si>
  <si>
    <t>40- Autres métiers d'art</t>
  </si>
  <si>
    <t>41- Paris sportifs</t>
  </si>
  <si>
    <t>42- Activités liées à la production de matrices sonores originales, sur bandes, cassettes, CD, la mise à disposition des enregistrements, leur promotion et leur distribution</t>
  </si>
  <si>
    <t>(new***) 69- Culture de la vigne</t>
  </si>
  <si>
    <t>(new***) 71- Fabrication de vins effervescents</t>
  </si>
  <si>
    <t>(new***) 73- Fabrication de cidre et de vins de fruits</t>
  </si>
  <si>
    <t>(new***) 74- Production d’autres boissons fermentées non distillées</t>
  </si>
  <si>
    <t>(new***) 75- Intermédiaire du commerce en vins ayant la qualité d’entrepositaire agréé en application de l’article 302 G du Code Général des Impôts</t>
  </si>
  <si>
    <t>(new***) 76- Commerçant de gros en vins ayant la qualité d’entrepositaire agréé en application de l’article 302 G du Code Général des Impôts</t>
  </si>
  <si>
    <t>(new***) 77- Intermédiaire du commerce en spiritueux exerçant une activité de distillation</t>
  </si>
  <si>
    <t>(new***) 78- Commerçant de gros en spiritueux exerçant une activité de distillation</t>
  </si>
  <si>
    <r>
      <t>1 Culture de plantes à boissons</t>
    </r>
    <r>
      <rPr>
        <b/>
        <sz val="9"/>
        <color rgb="FF70AD47"/>
        <rFont val="DIN Light"/>
      </rPr>
      <t xml:space="preserve"> (new***) (passage en Annexe 1)</t>
    </r>
  </si>
  <si>
    <r>
      <t>8 Fabrication de vins effervescents</t>
    </r>
    <r>
      <rPr>
        <sz val="9"/>
        <color rgb="FF3C3C3C"/>
        <rFont val="DIN Light"/>
      </rPr>
      <t xml:space="preserve"> (new***) </t>
    </r>
    <r>
      <rPr>
        <b/>
        <sz val="9"/>
        <color rgb="FF70AD47"/>
        <rFont val="DIN Light"/>
      </rPr>
      <t>(passage en Annexe 1)</t>
    </r>
  </si>
  <si>
    <r>
      <t>2 Culture de la vigne</t>
    </r>
    <r>
      <rPr>
        <sz val="9"/>
        <color rgb="FF3C3C3C"/>
        <rFont val="DIN Light"/>
      </rPr>
      <t xml:space="preserve"> </t>
    </r>
    <r>
      <rPr>
        <sz val="9"/>
        <color theme="9"/>
        <rFont val="DIN Light"/>
      </rPr>
      <t xml:space="preserve">(new***) </t>
    </r>
    <r>
      <rPr>
        <b/>
        <sz val="9"/>
        <color rgb="FF70AD47"/>
        <rFont val="DIN Light"/>
      </rPr>
      <t>(passage en Annexe 1)</t>
    </r>
  </si>
  <si>
    <r>
      <t xml:space="preserve">7 Production de boissons alcooliques distillées </t>
    </r>
    <r>
      <rPr>
        <strike/>
        <sz val="9"/>
        <color theme="9"/>
        <rFont val="DIN Light"/>
      </rPr>
      <t>(new***)</t>
    </r>
    <r>
      <rPr>
        <strike/>
        <sz val="9"/>
        <color rgb="FF3C3C3C"/>
        <rFont val="DIN Light"/>
      </rPr>
      <t xml:space="preserve"> </t>
    </r>
    <r>
      <rPr>
        <b/>
        <sz val="9"/>
        <color rgb="FF70AD47"/>
        <rFont val="DIN Light"/>
      </rPr>
      <t>(passage en Annexe 1)</t>
    </r>
  </si>
  <si>
    <r>
      <t>9 Vinification</t>
    </r>
    <r>
      <rPr>
        <sz val="9"/>
        <color rgb="FF3C3C3C"/>
        <rFont val="DIN Light"/>
      </rPr>
      <t xml:space="preserve"> </t>
    </r>
    <r>
      <rPr>
        <sz val="9"/>
        <color theme="9"/>
        <rFont val="DIN Light"/>
      </rPr>
      <t xml:space="preserve">(new***) </t>
    </r>
    <r>
      <rPr>
        <b/>
        <sz val="9"/>
        <color rgb="FF70AD47"/>
        <rFont val="DIN Light"/>
      </rPr>
      <t>(passage en Annexe 1)</t>
    </r>
  </si>
  <si>
    <r>
      <t>10 Fabrication de cidre et de vins de fruits</t>
    </r>
    <r>
      <rPr>
        <sz val="9"/>
        <color rgb="FF3C3C3C"/>
        <rFont val="DIN Light"/>
      </rPr>
      <t xml:space="preserve"> </t>
    </r>
    <r>
      <rPr>
        <sz val="9"/>
        <color theme="9"/>
        <rFont val="DIN Light"/>
      </rPr>
      <t xml:space="preserve">(new***) </t>
    </r>
    <r>
      <rPr>
        <b/>
        <sz val="9"/>
        <color theme="9"/>
        <rFont val="DIN Light"/>
      </rPr>
      <t>(</t>
    </r>
    <r>
      <rPr>
        <b/>
        <sz val="9"/>
        <color rgb="FF70AD47"/>
        <rFont val="DIN Light"/>
      </rPr>
      <t>passage en Annexe 1)</t>
    </r>
  </si>
  <si>
    <r>
      <t>11 Production d'autres boissons fermentées non distillées</t>
    </r>
    <r>
      <rPr>
        <sz val="9"/>
        <color theme="9"/>
        <rFont val="DIN Light"/>
      </rPr>
      <t xml:space="preserve"> (new***) </t>
    </r>
    <r>
      <rPr>
        <b/>
        <sz val="9"/>
        <color theme="9"/>
        <rFont val="DIN Light"/>
      </rPr>
      <t>(p</t>
    </r>
    <r>
      <rPr>
        <b/>
        <sz val="9"/>
        <color rgb="FF70AD47"/>
        <rFont val="DIN Light"/>
      </rPr>
      <t>assage en Annexe 1)</t>
    </r>
  </si>
  <si>
    <t>(new**) 80- Ecoles de français langue étrangère</t>
  </si>
  <si>
    <t xml:space="preserve">(new**) 81- Commerce des vêtements de cérémonie, d'accessoires de ganterie et de chapellerie et de costumes pour les grands évènements </t>
  </si>
  <si>
    <t xml:space="preserve">(new**) 82- Articles pour fêtes et divertissements, panoplies et déguisements </t>
  </si>
  <si>
    <t xml:space="preserve">(new**) 83- Commerce de gros de vêtements de travail </t>
  </si>
  <si>
    <t>(new**) 84- Antiquaires</t>
  </si>
  <si>
    <t>(new**) 85- Equipementiers de salles de projection cinématographiques</t>
  </si>
  <si>
    <t>(new**) 86- Edition et diffusion de programmes radios à audience locale, éditions de chaînes de télévision à audience locale</t>
  </si>
  <si>
    <t>(new**) 87- Correspondants locaux de presse</t>
  </si>
  <si>
    <t>(new**) 88- Fabrication de skis, fixations et bâtons pour skis, chaussures de ski</t>
  </si>
  <si>
    <t>(new**) 89- Réparation de chaussures et d'articles en cuir</t>
  </si>
  <si>
    <t>(new*) 32- Commerce de détail en magasin situé dans une zone touristique internationale mentionnée à l'article L. 3132-24 du code du travail, à l'exception du commerce alimentaire ou à prédominance alimentaire (hors commerce de boissons en magasin spécialisé), du commerce d'automobiles, de motocyles, de carburants, de charbons et combustibles, d'équipements du foyer, d'articles médicaux et orthopédiques et de fleurs, plantes, graines, engrais, animaux de compagnie et aliments pour ces animaux</t>
  </si>
  <si>
    <t>(new*) 43- Tourisme de savoir-faire : entreprises réalisant des ventes directement sur leur site de production aux visiteurs et qui ont obtenu le label : “ entreprise du patrimoine vivant ” en application du décret n° 2006-595 du 23 mai 2006 relatif à l'attribution du label “ entreprise du patrimoine vivant ” ou qui sont titulaires de la marque d'Etat “ Qualité TourismeTM ” au titre de la visite d'entreprise ou qui utilisent des savoir-faire inscrits sur la liste représentative du patrimoine culturel immatériel de l'humanité prévue par la convention pour la sauvegarde du patrimoine culturel immatériel adoptée à Paris le 17 octobre 2003, dans la catégorie des « savoir-faire liés à l'artisanat traditionnel</t>
  </si>
  <si>
    <t>(new*) 44- Activités de sécurité privée</t>
  </si>
  <si>
    <t>(new*) 45- Nettoyage courant des bâtiments</t>
  </si>
  <si>
    <t>(new*) 46- Autres activités de nettoyage des bâtiments et nettoyage industriel</t>
  </si>
  <si>
    <t>(new*) 47- Fabrication de foie gras</t>
  </si>
  <si>
    <t>(new*) 48- Préparation à caractère artisanal de produits de charcuterie</t>
  </si>
  <si>
    <t>(new*) 49- Pâtisserie</t>
  </si>
  <si>
    <t>(new*) 50- Commerce de détail de viandes et de produits à base de viande en magasin spécialisé</t>
  </si>
  <si>
    <t>(new*) 51- Commerce de détail de viande, produits à base de viandes sur éventaires et marchés</t>
  </si>
  <si>
    <t>(new*) 52- Fabrication de vêtements de travail</t>
  </si>
  <si>
    <t>(new*) 53- Reproduction d'enregistrements</t>
  </si>
  <si>
    <t>(new*) 54- Fabrication de verre creux</t>
  </si>
  <si>
    <t>(new*) 55- Fabrication d'articles céramiques à usage domestique ou ornemental</t>
  </si>
  <si>
    <t>(new*) 56- Fabrication de coutellerie</t>
  </si>
  <si>
    <t>(new*) 57- Fabrication d'articles métalliques ménagers</t>
  </si>
  <si>
    <t>(new*) 58- Fabrication d'appareils ménagers non électriques</t>
  </si>
  <si>
    <t>(new*) 59- Fabrication d'appareils d'éclairage électrique</t>
  </si>
  <si>
    <t>(new*) 60- Travaux d'installation électrique dans tous locaux</t>
  </si>
  <si>
    <t>(new*) 61- Aménagement de lieux de vente</t>
  </si>
  <si>
    <t>(new*) 62- Commerce de détail de fleurs, en pot ou coupées, de compositions florales, de plantes et de graines</t>
  </si>
  <si>
    <t>(new*) 63- Commerce de détail de livres sur éventaires et marchés</t>
  </si>
  <si>
    <t>(new*) 64- Courtier en assurance voyage</t>
  </si>
  <si>
    <t>(new*) 65- Location et exploitation d'immeubles non résidentiels de réception</t>
  </si>
  <si>
    <t>(new*) 66- Conseil en relations publiques et communication</t>
  </si>
  <si>
    <t>(new*) 67- Activités des agences de publicité</t>
  </si>
  <si>
    <t>(new*) 68- Activités spécialisées de design</t>
  </si>
  <si>
    <t>(new*) 69- Activités spécialisées, scientifiques et techniques diverses</t>
  </si>
  <si>
    <t>(new*) 70- Services administratifs d'assistance à la demande de visas</t>
  </si>
  <si>
    <t>(new*) 71- Autre création artistique</t>
  </si>
  <si>
    <t>(new*) 72- Blanchisserie-teinturerie de détail</t>
  </si>
  <si>
    <t>(new*) 73- Construction de maisons mobiles pour les terrains de camping</t>
  </si>
  <si>
    <t>(new*) 74- Fabrication de vêtements de cérémonie, d'accessoires de ganterie et de chapellerie et de costumes pour les grands évènements</t>
  </si>
  <si>
    <t>(new*) 75- Vente par automate</t>
  </si>
  <si>
    <t>(new*) 76- Commerce de gros de viandes et de produits à base de viande</t>
  </si>
  <si>
    <t>(new*) 77- Garde d'animaux de compagnie avec ou sans hébergement</t>
  </si>
  <si>
    <t>(new*) 78- Fabrication de dentelle et broderie</t>
  </si>
  <si>
    <t>(new*) 79- Couturiers</t>
  </si>
  <si>
    <t>(new*)  Activités des agences de placement de main-d'œuvre (new**) supprimé</t>
  </si>
  <si>
    <t>(new*) 92- Fabrication et distribution de matériels scéniques, audiovisuels et évènementiels</t>
  </si>
  <si>
    <t>(new*) 93- Prestation de services spécialisés dans l'aménagement et l'agencement des stands et lieux lorsque au moins 50 % du chiffre d'affaires est réalisé avec une ou des entreprises du secteur de la production de spectacles, l'organisation de foires, d'évènements publics ou privés, de salons ou séminaires professionnels ou de congrès</t>
  </si>
  <si>
    <t>(new*) 94- Activités immobilières, lorsque au moins 50 % du chiffre d'affaires est réalisé avec une ou des entreprises du secteur de l'organisation de foires, d'évènements publics ou privés, de salons ou séminaires professionnels ou de congrès.</t>
  </si>
  <si>
    <t>(new*) 95- Entreprises de transport réalisant au moins 50 % de leur chiffre d'affaires avec une ou des entreprises du secteur de l'organisation de foires, d'évènements publics ou privés, de salons ou séminaires professionnels ou de congrès</t>
  </si>
  <si>
    <t>(new*) 96- Entreprises du numérique réalisant au moins 50 % de leur chiffre d'affaires avec une ou des entreprises du secteur de l'organisation de foires, d'évènements publics ou privés, de salons ou séminaires professionnels ou de congrès</t>
  </si>
  <si>
    <t>(new***) : Activité ajoutée sur le Décret 2021-79 et 129 du 28 Janvier et du 08 Février 2021</t>
  </si>
  <si>
    <t>À cocher en cas de fermeture administrative en Janvier 2021</t>
  </si>
  <si>
    <t>Janvier</t>
  </si>
  <si>
    <t>À cocher en cas de fermeture administrative en Décembre 2020</t>
  </si>
  <si>
    <t>À cocher en cas de fermeture administrative en Novembre 2020</t>
  </si>
  <si>
    <t>* Aide de 15 à 20 % du CA maximum en cas de fermeture Administrative, ou est l'une des activités mentionnées en annexe 1 avec une perte d'au moins 50 %, ou en annexe 2 avec une perte d'au moins 50 % ou 3 avec une perte d'au moins 70 % et avec une perte de CA d'au moins 80 % entre le 15/03/2020 et le 15/05/2020 ou au mois de Novembre 2020 ou une perte de 10 % entre 2019 et 2020</t>
  </si>
  <si>
    <t>L'activité est mentionnées en annexe 3 :</t>
  </si>
  <si>
    <t>À cocher en cas de domiciliation de l'activité dans une commune mentionnée à l'annexe 3 et par l'article 18 du décret 2020-1310 et 3-19 2021-192</t>
  </si>
  <si>
    <t>Février</t>
  </si>
  <si>
    <t>- Février :</t>
  </si>
  <si>
    <t>Aides du fonds de solidarité du mois de Février :</t>
  </si>
  <si>
    <t>* Aide de 1 500 € maximum en cas de perte d'au-moins 50 % du CA de Février 2021</t>
  </si>
  <si>
    <t>De Février 2019 :</t>
  </si>
  <si>
    <t>Ces aides prévues à l'article 3-22 ne sont pas cumulables au titre du mois de Février 2021</t>
  </si>
  <si>
    <t>Fermeture Administrative et 20 % de perte</t>
  </si>
  <si>
    <t>Centre commercial</t>
  </si>
  <si>
    <t>(New****) 90- Fabrication de bidons de bière métalliques, tonnelets de bières métalliques, fûts de bière métalliques</t>
  </si>
  <si>
    <r>
      <t xml:space="preserve">(new*) 91- Entreprises artisanales </t>
    </r>
    <r>
      <rPr>
        <b/>
        <sz val="9"/>
        <color theme="9"/>
        <rFont val="DIN Light"/>
      </rPr>
      <t>(new***)</t>
    </r>
    <r>
      <rPr>
        <b/>
        <sz val="9"/>
        <color rgb="FF5B9BD5"/>
        <rFont val="DIN Light"/>
      </rPr>
      <t xml:space="preserve"> </t>
    </r>
    <r>
      <rPr>
        <b/>
        <sz val="9"/>
        <color rgb="FF70AD47"/>
        <rFont val="DIN Light"/>
      </rPr>
      <t xml:space="preserve">et commerçants </t>
    </r>
    <r>
      <rPr>
        <b/>
        <sz val="9"/>
        <color rgb="FF5B9BD5"/>
        <rFont val="DIN Light"/>
      </rPr>
      <t>réalisant au moins 50 % de leur chiffre d'affaires par la vente de leurs produits ou services sur les foires et salons</t>
    </r>
  </si>
  <si>
    <t>(new*) 92- Métiers graphiques, métiers d'édition spécifique, de communication et de conception de stands et d'espaces éphémères réalisant au moins 50 % de leur chiffre d'affaires avec une ou des entreprises du secteur de l'organisation de foires, d'évènements publics ou privés, de salons ou séminaires professionnels ou de congrès</t>
  </si>
  <si>
    <r>
      <t xml:space="preserve">(new*) 98- Fabrication de produits alimentaires lorsque au moins 50 % du chiffre d'affaires est réalisé avec une ou des entreprises </t>
    </r>
    <r>
      <rPr>
        <b/>
        <sz val="9"/>
        <color theme="5"/>
        <rFont val="DIN Light"/>
      </rPr>
      <t xml:space="preserve">(new**) </t>
    </r>
    <r>
      <rPr>
        <b/>
        <strike/>
        <sz val="9"/>
        <color rgb="FFED7D31"/>
        <rFont val="DIN Light"/>
      </rPr>
      <t>du secteur de la restauration</t>
    </r>
    <r>
      <rPr>
        <b/>
        <sz val="9"/>
        <color rgb="FF5B9BD5"/>
        <rFont val="DIN Light"/>
      </rPr>
      <t xml:space="preserve"> </t>
    </r>
    <r>
      <rPr>
        <sz val="9"/>
        <color rgb="FFED7D31"/>
        <rFont val="DIN Light"/>
      </rPr>
      <t>des secteurs de l'évènementiel, de l'hôtellerie ou de la restauration</t>
    </r>
  </si>
  <si>
    <t>(new*) 99- Fabrication d'équipements de cuisines lorsque au moins 50 % du chiffre d'affaires est réalisé avec une ou des entreprises du secteur de la restauration</t>
  </si>
  <si>
    <t>(new*) 100- Installation et maintenance de cuisines lorsque au moins 50 % du chiffre d'affaires est réalisé avec une ou des entreprises du secteur de la restauration</t>
  </si>
  <si>
    <t>(new****) 97- Fabrication de ligne de lit et de table lorsqu’au-moins 50% du chiffre d’affaires est réalisé avec une ou des entreprises du secteur de l’hôtellerie et de la restauration.</t>
  </si>
  <si>
    <t xml:space="preserve">(new*) 101- Elevage de pintades, de canards et d'autres oiseaux (hors volaille) lorsque au moins 50 %
du chiffre d'affaires est réalisé avec une ou des entreprises du secteur de la restauration. </t>
  </si>
  <si>
    <t xml:space="preserve">(new**) 102- Prestations d'accueil lorsque au moins 50 % du chiffre d'affaires est réalisé avec une ou des entreprises du secteur de l'évènementiel </t>
  </si>
  <si>
    <t>(new**) 103- Prestataires d'organisation de mariage lorsque au moins 50 % du chiffre d'affaires est réalisé avec une ou des entreprises du secteur de l'évènementiel ou de la restauration ;</t>
  </si>
  <si>
    <t xml:space="preserve">(new**) 104- Location de vaisselle lorsque au moins 50 % du chiffre d'affaire est réalisé avec une ou des entreprises du secteur de l'organisation de foires, d'évènements publics ou privés, de salons ou séminaires professionnels ou de congrès </t>
  </si>
  <si>
    <t>(new**) 105- Fabrication des nappes et serviettes de fibres de cellulose lorsque au moins 50 % du chiffre d'affaire est réalisé avec une ou des entreprises du secteur de la restauration ;</t>
  </si>
  <si>
    <t>(new**) 106- Collecte des déchets non dangereux lorsque au moins 50 % du chiffre d'affaires est réalisé avec une ou des entreprises du secteur de la restauration</t>
  </si>
  <si>
    <t xml:space="preserve">(new**) 107- Exploitations agricoles des filières dites festives lorsqu'au moins 50 % du chiffre d'affaires est réalisé avec une ou des entreprises du secteur de la restauration ou de la chasse </t>
  </si>
  <si>
    <r>
      <t xml:space="preserve">(new**) 108- </t>
    </r>
    <r>
      <rPr>
        <b/>
        <sz val="9"/>
        <color rgb="FFED7D31"/>
        <rFont val="DIN Light"/>
      </rPr>
      <t>Entreprises de transformation et conservation de poisson, de crustacés et de mollusques des filières dites festives lorsqu'au moins 50 % du chiffre d'affaires est réalisé avec une ou des entreprises du secteur de la restauration</t>
    </r>
  </si>
  <si>
    <t xml:space="preserve">(new**) 109- Activités des agences de presse lorsque au moins 50 % du chiffre d'affaires est réalisé avec une ou des entreprises du secteur de l'évènementiel, du tourisme, du sport ou de la culture </t>
  </si>
  <si>
    <r>
      <t xml:space="preserve">(new**) 110- </t>
    </r>
    <r>
      <rPr>
        <b/>
        <sz val="9"/>
        <color rgb="FFED7D31"/>
        <rFont val="DIN Light"/>
      </rPr>
      <t>Edition de journaux, éditions de revues et périodiques lorsqu'au moins 50 % du chiffre d'affaires est réalisé avec une ou des entreprises du secteur de l'évènementiel, du tourisme, du sport ou de la culture</t>
    </r>
  </si>
  <si>
    <t xml:space="preserve">(new**) 116- Activités des agences de placement de main-d'œuvre lorsque au moins 50 % du chiffre d'affaires est réalisé avec une ou des entreprises du secteur de l'évènementiel, de l'hôtellerie ou de la restauration </t>
  </si>
  <si>
    <t xml:space="preserve">(new**) 117- Activités des agences de travail temporaire lorsque au moins 50 % du chiffre d'affaires est réalisé avec une ou des entreprises du secteur de l'évènementiel, de l'hôtellerie ou de la restauration </t>
  </si>
  <si>
    <t>(new**) 118- Autres mises à disposition de ressources humaines lorsque au moins 50 % du chiffre d'affaires est réalisé avec une ou des entreprises du secteur de l'évènementiel, de l'hôtellerie ou de la restauration</t>
  </si>
  <si>
    <r>
      <t xml:space="preserve">(new**) 119- </t>
    </r>
    <r>
      <rPr>
        <b/>
        <sz val="9"/>
        <color rgb="FFED7D31"/>
        <rFont val="DIN Light"/>
      </rPr>
      <t>Fabrication de meubles de bureau et de magasin lorsqu'au moins 50 % du chiffre d'affaires est réalisé avec une ou des entreprises du secteur de l'hôtellerie ou de la restauration</t>
    </r>
    <r>
      <rPr>
        <sz val="9"/>
        <color rgb="FFED7D31"/>
        <rFont val="DIN Light"/>
      </rPr>
      <t xml:space="preserve"> </t>
    </r>
  </si>
  <si>
    <t>(new***) 120- Commerce de détail d’articles du sport en magasin spécialisé lorsqu’au moins 50 % du chiffre d’affaires est réalisé dans la vente au détail de skis et de chaussures de ski</t>
  </si>
  <si>
    <t>(New****) 129 – Commerce de gros de café, thé, cacao et épices lorsqu’au moins 50% du chiffre d’affaires est réalisé
avec une ou des entreprises du secteur de l’hôtellerie ou de la restauration.</t>
  </si>
  <si>
    <t xml:space="preserve">(new**) 111- Entreprises de conseil spécialisées lorsque au moins 50 % du chiffre d'affaires est réalisé avec une ou des entreprises du secteur du sport, (new****) l’évènementiel, du tourisme, ou de la culture
</t>
  </si>
  <si>
    <t>(new**) 112- Commerce de gros (commerce interentreprises) de matériel électrique lorsqu'au moins 50 % du chiffre d'affaires est réalisé avec une ou des entreprises du secteur du sport, (new****)  l’évènementiel, du tourisme, ou de la culture</t>
  </si>
  <si>
    <t>(new**) 113- Activités des agents et courtiers d'assurance lorsque au moins 50 % du chiffre d'affaires est réalisé avec une ou des entreprises du secteur du sport, (new****) l’évènementiel, du tourisme, ou de la culture</t>
  </si>
  <si>
    <t>(new**) 114- Conseils pour les affaires et autres conseils de gestion lorsque au moins 50 % du chiffre d'affaires est réalisé avec une ou des entreprises du secteur du sport, (new****) l’évènementiel, du tourisme, ou de la culture</t>
  </si>
  <si>
    <t>(new**) 115- Etudes de marchés et sondages lorsque au moins 50 % du chiffre d'affaires est réalisé avec une ou des entreprises du secteur du sport, (new****) l’évènementiel, du tourisme, ou de la culture</t>
  </si>
  <si>
    <t>(new****) : Activité ajoutée sur le Décret 2021-256 09 Mars 2021</t>
  </si>
  <si>
    <t>Mars</t>
  </si>
  <si>
    <t>Avril</t>
  </si>
  <si>
    <t>Mai</t>
  </si>
  <si>
    <t>Juin</t>
  </si>
  <si>
    <t>Recettes</t>
  </si>
  <si>
    <t>+</t>
  </si>
  <si>
    <t>-</t>
  </si>
  <si>
    <t>Subvention (dont FDS)</t>
  </si>
  <si>
    <t>Achats consommés</t>
  </si>
  <si>
    <t>Consommations en provenance de tiers </t>
  </si>
  <si>
    <t>Charges de personnel</t>
  </si>
  <si>
    <t>Impôts et taxes et versements assimilés</t>
  </si>
  <si>
    <t>L'excédent brut d'exploitation - EBE</t>
  </si>
  <si>
    <t>=</t>
  </si>
  <si>
    <t>Aides complémentaires</t>
  </si>
  <si>
    <t>Prise en charge des coûts fixes du mois de Janvier :</t>
  </si>
  <si>
    <t>- Avoir débuté son activité avant le 01 Janvier 2019 ;</t>
  </si>
  <si>
    <t>þ</t>
  </si>
  <si>
    <t>ý</t>
  </si>
  <si>
    <t>- Avoir perdu plus de 10 % de sonc CA entre 2020 et 2019 ;</t>
  </si>
  <si>
    <t>- Avoir réalisé plus d’1 M€ de chiffre d’affaires mensuel ou 12 M€ de chiffre d’affaires annuel ;</t>
  </si>
  <si>
    <t>- justifié d’une perte d’au moins 50 % de CA en janvier 2021 ;</t>
  </si>
  <si>
    <t>(Activité non mentionnée)</t>
  </si>
  <si>
    <t xml:space="preserve">Ce dispositif vise à prendre en charge les coûts fixes des entreprises qui ne sont pas couverts par leurs recettes, leurs assurances ou les aides publiques. </t>
  </si>
  <si>
    <t>A noter que certaines petites entreprises ont des coûts fixes plus élevés et que la moyenne et insuffisamment couverts par le fonds de solidarité, le dispositif sera également ouvert aux entreprises de certains secteurs sans critère de chiffre d’affaires, pour ces entreprises il convient de mentionner le secteur depuis la liste déroulante ci-dessous.</t>
  </si>
  <si>
    <t>Pour les petites entreprises :</t>
  </si>
  <si>
    <t>Nombre de salariés :</t>
  </si>
  <si>
    <t>Calcul de l'aide :</t>
  </si>
  <si>
    <t>JANVIER</t>
  </si>
  <si>
    <t>MARS</t>
  </si>
  <si>
    <t>AVRIL</t>
  </si>
  <si>
    <t>MAI</t>
  </si>
  <si>
    <t>JUIN</t>
  </si>
  <si>
    <t>Mois</t>
  </si>
  <si>
    <t>cumul</t>
  </si>
  <si>
    <t>Total du Bilan :</t>
  </si>
  <si>
    <t>FEVRIER</t>
  </si>
  <si>
    <t>- Mars :</t>
  </si>
  <si>
    <t>Aides du fonds de solidarité du mois de Mars :</t>
  </si>
  <si>
    <t>Pré-requis pour les entreprises nouvelles : avoir débuté son activité avant le 31 Décembre 2020</t>
  </si>
  <si>
    <t>À cocher en cas d'exercice principal dans le commerce de détail avec au moins un des magasins en centre de commercial (&gt; 20 000 m² ou 10 000 m² à partir de Mars 2021) avec Fermeture administrative</t>
  </si>
  <si>
    <t>Mars 2</t>
  </si>
  <si>
    <t>De Mars 2019 :</t>
  </si>
  <si>
    <r>
      <t xml:space="preserve">À cocher en cas de fermeture administrative en Mars 2021 </t>
    </r>
    <r>
      <rPr>
        <b/>
        <sz val="8"/>
        <color rgb="FF0D4174"/>
        <rFont val="Calibri"/>
        <family val="2"/>
        <scheme val="minor"/>
      </rPr>
      <t>&amp; avoir subi une perte d'au moins 20 % sur la période (le CA réalisé sur les activités de vente à distance avec retrait en magasin ou livraison sont à prendre en compte pour le calcul de la perte)</t>
    </r>
  </si>
  <si>
    <r>
      <t>À cocher en cas de fermeture administrative en Février 2021</t>
    </r>
    <r>
      <rPr>
        <b/>
        <sz val="8"/>
        <color rgb="FF0D4174"/>
        <rFont val="Calibri"/>
        <family val="2"/>
        <scheme val="minor"/>
      </rPr>
      <t xml:space="preserve"> &amp; avoir subi une perte d'au moins 20 % sur la période (le CA réalisé sur les activités de vente à distance avec retrait en magasin ou livraison sont à prendre en compte pour le calcul de la perte)</t>
    </r>
  </si>
  <si>
    <r>
      <t xml:space="preserve">À cocher en cas de fermeture administrative au cours d'une ou plusieurs périodes en Mars 2021 </t>
    </r>
    <r>
      <rPr>
        <b/>
        <sz val="8"/>
        <color rgb="FF0D4174"/>
        <rFont val="Calibri"/>
        <family val="2"/>
        <scheme val="minor"/>
      </rPr>
      <t>&amp; avoir subi une perte d'au moins 20 % sur la période (le CA réalisé sur les activités de vente à distance avec retrait en magasin ou livraison sont à prendre en compte pour le calcul de la perte)</t>
    </r>
  </si>
  <si>
    <t>Ces aides prévues à l'article 3-24 ne sont pas cumulables au titre du mois de Mars 2021</t>
  </si>
  <si>
    <t>* Aide de 1 500 € maximum en cas de perte d'au-moins 50 % du CA de Mars 2021</t>
  </si>
  <si>
    <t>Ou être en fermeture administrative au cours d'une ou plusieurs périodes et avoir subi une perte inférieure à 50% sur la période</t>
  </si>
  <si>
    <t>CA de référence en € :</t>
  </si>
  <si>
    <t>Fermeture partielle Administrative et 20 % de perte</t>
  </si>
  <si>
    <t>Pour les entreprises domiciliées à Mayotte, l'aide est plafonnée à 3000 €.</t>
  </si>
  <si>
    <t>* Aide de 10 000 € maximum en cas de fermeture Administrative avec 20 % de perte de CA, ou avoir une perte d'au moins 50 % et avoir une fermeture administrative partielle sur le mois, être l'une des activités mentionnées en annexe 1, ou en annexe 2 ou 3 ou dans un centre commercial mais avec une perte de CA d'au moins 80 % entre le 15/03/2020 et le 15/05/2020 ou au mois de Novembre 2020 ou une perte de 10 % entre 2019 et 2020</t>
  </si>
  <si>
    <t>A noter que concernant le CA de référence, il convient de choisir l'option retenue par l'entreprise, en cas de demande au titre du mois Février 2021</t>
  </si>
  <si>
    <t>* Aide de 15 à 20 % du CA maximum en cas de fermeture Administrative avec 20 % de perte de CA, où avoir une perte d'au moins 50 % ou 70 % et avoir une fermeture administrative partielle sur le mois, être l'une des activités mentionnées en annexe 1, ou en annexe 2 ou 3 ou dans un centre commercial et avec une perte de CA d'au moins 80 % entre le 15/03/2020 et le 15/05/2020 ou au mois de Novembre 2020 ou une perte de 10 % entre 2019 et 2020</t>
  </si>
  <si>
    <t>Aide de 15 à 20 % du CA de réf :</t>
  </si>
  <si>
    <t xml:space="preserve"> * Aide pour les entreprises domiciliées dans des zones ayant subi des mesures de couvre-feu de 21H-6H avec une perte de CA d'au moins 50% du CA en Octobre :</t>
  </si>
  <si>
    <t>Diff entre CA de réf et perte :</t>
  </si>
  <si>
    <t xml:space="preserve"> * Aide pour les entreprises domiciliées hors des zones ayant subi des mesures de couvre-feu mais ayant une perte de CA d'au moins 50 % ou 70% du CA en Octobre :</t>
  </si>
  <si>
    <t>(new***) 121- Fabrication de matériel de levage et de manutention lorsqu’au moins 50 % du chiffre d’affaires est réalisé avec une personne morale qui exploite des remontées mécaniques au sens de l’Art. L342-7 du Code du Tourisme ou (depuis le 10/04/21) des entreprises du secteur des domaines skiables</t>
  </si>
  <si>
    <t>(new***) 122- Fabrication de charpentes et autres menuiseries lorsqu’au moins 50 % du chiffre d’affaires est réalisé avec une personne morale qui exploite des remontées mécaniques au sens de l’Art. L342-7 du Code du Tourisme ou (depuis le 10/04/21) des entreprises du secteur des domaines skiables</t>
  </si>
  <si>
    <t>(new***) 123- Services d’architecture lorsqu’au moins 50 % du chiffre d’affaires est réalisé avec une personne morale qui exploite des remontées mécaniques au sens de l’Art. L342-7 du Code du Tourisme ou (depuis le 10/04/21) des entreprises du secteur des domaines skiables</t>
  </si>
  <si>
    <t>(new***) 124- Activités d’ingénierie lorsqu’au moins 50 % du chiffre d’affaires est réalisé avec une personne morale qui exploite des remontées mécaniques au sens de l’Art. L342-7 du Code du Tourisme ou (depuis le 10/04/21) des entreprises du secteur des domaines skiables</t>
  </si>
  <si>
    <t>(new***) 125- Fabrication d’autres articles en caoutchouc lorsqu’au moins 50 % du chiffre d’affaires est réalisé avec une personne morale qui exploite des remontées mécaniques au sens de l’Art. L342-7 du Code du Tourisme ou (depuis le 10/04/21) des entreprises du secteur des domaines skiables</t>
  </si>
  <si>
    <t>(new***) 126- Réparation de machines et équipements mécaniques lorsqu’au moins 50 % du chiffre d’affaires est réalisé avec une personne morale qui exploite des remontées mécaniques au sens de l’Art. L342-7 du Code du Tourisme ou (depuis le 10/04/21) des entreprises du secteur des domaines skiables</t>
  </si>
  <si>
    <t>(new***) 127- Fabrication d’autres machines d’usage général lorsqu’au moins 50 % du chiffre d’affaires est réalisé avec une personne morale qui exploite des remontées mécaniques au sens de l’Art. L342-7 du Code du Tourisme ou (depuis le 10/04/21) des entreprises du secteur des domaines skiables</t>
  </si>
  <si>
    <t>(new***) 128- Installation de machines et équipements mécaniques lorsqu’au moins 50 % du chiffre d’affaires est réalisé avec une personne morale qui exploite des remontées mécaniques au sens de l’Art. L342-7 du Code du Tourisme ou (depuis le 10/04/21) des entreprises du secteur des domaines skiables</t>
  </si>
  <si>
    <t>Prise en charge des coûts fixes du mois de Février :</t>
  </si>
  <si>
    <t>- justifié d’une perte d’au moins 50 % de CA en Février 2021 ;</t>
  </si>
  <si>
    <t xml:space="preserve">- Avoir un excédent brut d’exploitation négatif sur la période de Février 2021 ; </t>
  </si>
  <si>
    <t xml:space="preserve">- Avoir un excédent brut d’exploitation négatif sur la période de Janvier 2021 ; </t>
  </si>
  <si>
    <t>L'activité est exercée dans un centre commercial :</t>
  </si>
  <si>
    <t>Prise en charge des coûts fixes du mois de Mars :</t>
  </si>
  <si>
    <t>Prise en charge des coûts fixes du mois de Avril :</t>
  </si>
  <si>
    <t>Prise en charge des coûts fixes du mois de Mai :</t>
  </si>
  <si>
    <t>Prise en charge des coûts fixes du mois de Juin :</t>
  </si>
  <si>
    <t>* Aide de 15 à 20 % du CA maximum en cas de fermeture Administrative avec 20 % de perte de CA, ou est l'une des activités mentionnées en annexe 1 avec une perte d'au moins 50 %, ou en annexe 2 avec une perte d'au moins 50 % ou 3 ou dans un centre commercial avec une perte d'au moins 70 % et avec une perte de CA d'au moins 80 % entre le 15/03/2020 et le 15/05/2020, au mois de Novembre 2020 ou une perte de 10 % entre 2019 et 2020</t>
  </si>
  <si>
    <t>* Aide de 10 000 € maximum en cas de fermeture Administrative avec 20 % de perte de CA, ou avoir une perte d'au moins 50 % et être l'une des activités mentionnées en annexe 1, ou en annexe 2 ou 3 ou dans un centre commercial mais avec une perte de CA d'au moins 80 % entre le 15/03/2020 et le 15/05/2020, au mois de Novembre 2020 ou une perte de 10 % entre 2019 et 2020</t>
  </si>
  <si>
    <t>Restauration traditionnelle domicilée dans une communementionnée à l'annexe 3 du décret du 30 mars 2020 relatif au fonds de solidarité</t>
  </si>
  <si>
    <t>Hôtels et hébergements similaires domicilée dans une communementionnée à l'annexe 3 du décret du 30 mars 2020 relatif au fonds de solidarité</t>
  </si>
  <si>
    <t>Hébergement touristique et autre hébergement de courte durée domicilée dans une communementionnée à l'annexe 3 du décret du 30 mars 2020 relatif au fonds de solidarité</t>
  </si>
  <si>
    <t>Salles de sport</t>
  </si>
  <si>
    <t>Salles de loisir intérieurs</t>
  </si>
  <si>
    <t>Jardins et parcs zoologiques</t>
  </si>
  <si>
    <t>Thermalisme</t>
  </si>
  <si>
    <t>Activités des parcs d'attractions et parcs à thèmes</t>
  </si>
  <si>
    <t>- Notre résumé des décrets sur le fond de solidarité (lien ici)</t>
  </si>
  <si>
    <t>- Le décret 2021-422 du 10/04/2021 (lien ici)</t>
  </si>
  <si>
    <t>- Le décret 2020-371 MAJ 12/04/2021 (lien ici)</t>
  </si>
  <si>
    <t>Chiffre d'affaire du groupe :</t>
  </si>
  <si>
    <t>Aides du fonds de solidarité du mois de Avril :</t>
  </si>
  <si>
    <t>Pré-requis pour les entreprises nouvelles : avoir débuté son activité avant le 31 Janvier 2021</t>
  </si>
  <si>
    <t>Ou être en fermeture administrative entre le 1er et le 30 Avril et avoir subi une perte inférieure à 50% sur la période</t>
  </si>
  <si>
    <r>
      <t xml:space="preserve">À cocher en cas de fermeture administrative en Avril 2021 </t>
    </r>
    <r>
      <rPr>
        <b/>
        <sz val="8"/>
        <color rgb="FF0D4174"/>
        <rFont val="Calibri"/>
        <family val="2"/>
        <scheme val="minor"/>
      </rPr>
      <t>&amp; avoir subi une perte d'au moins 20 % sur la période (le CA réalisé sur les activités de vente à distance avec retrait en magasin ou livraison sont à prendre en compte pour le calcul de la perte)</t>
    </r>
  </si>
  <si>
    <r>
      <t xml:space="preserve">À cocher en cas de fermeture administrative entre le 1er et 30 Avril 2021 </t>
    </r>
    <r>
      <rPr>
        <b/>
        <sz val="8"/>
        <color rgb="FF0D4174"/>
        <rFont val="Calibri"/>
        <family val="2"/>
        <scheme val="minor"/>
      </rPr>
      <t>&amp; avoir subi une perte d'au moins 20 % sur la période (le CA réalisé sur les activités de vente à distance avec retrait en magasin ou livraison sont à prendre en compte pour le calcul de la perte)</t>
    </r>
  </si>
  <si>
    <t>Avril2</t>
  </si>
  <si>
    <t>- Avril :</t>
  </si>
  <si>
    <t>Ces aides prévues à l'article 3-26 ne sont pas cumulables au titre du mois d'Avril 2021</t>
  </si>
  <si>
    <t>* Aide de 1 500 € maximum en cas de perte d'au-moins 50 % du CA d'Avril 2021</t>
  </si>
  <si>
    <t>A noter que concernant le CA de référence, il convient de choisir l'option retenue par l'entreprise, en cas de demande au titre du mois Février 2021, ou à défaut celui de Mars 2021</t>
  </si>
  <si>
    <t>D'Avril 2019 :</t>
  </si>
  <si>
    <t>- Avoir débuté son activité avant le 01 Mars 2019 ;</t>
  </si>
  <si>
    <t>- justifié d’une perte d’au moins 50 % de CA en Mars 2021 ;</t>
  </si>
  <si>
    <t xml:space="preserve">- Avoir un excédent brut d’exploitation négatif sur la période de Mars 2021 ; </t>
  </si>
  <si>
    <t>- justifié d’une perte d’au moins 50 % de CA en Avril 2021 ;</t>
  </si>
  <si>
    <t xml:space="preserve">- Avoir un excédent brut d’exploitation négatif sur la période de Avril 2021 ; </t>
  </si>
  <si>
    <t>À cocher en cas d'exercice principal dans le commerce de détail,  à l'exception des autombiles et des motocycles, ou dans la réparation et maintenance Navale et sont domiciliées à la Réunion, la Guadeloupe, la Martinique, Saint-Martin, Saint-Barthélemy ou en Polynésie française</t>
  </si>
  <si>
    <t>Outre-mer</t>
  </si>
  <si>
    <t>* Aide de 10 000 € maximum en cas de fermeture Administrative avec 20 % de perte de CA, ou avoir une perte d'au moins 50 % et avoir une fermeture administrative entre le 1er et le 30 Avril, être l'une des activités mentionnées en annexe 1, ou en annexe 2 ou 3 ou dans un centre commercial, ou domicilié dans certaines îles d'outre-mer, mais avec une perte de CA d'au moins 80 % entre le 15/03/2020 et le 15/05/2020 ou au mois de Novembre 2020 ou une perte de 10 % entre 2019 et 2020</t>
  </si>
  <si>
    <t>* Aide de 15 à 20 % du CA maximum en cas de fermeture Administrative avec 20 % de perte de CA, où avoir une perte d'au moins 50 % ou 70 % et avoir une fermeture administrative entre le 1er et 30 Avril, être l'une des activités mentionnées en annexe 1, ou en annexe 2 ou 3 ou dans un centre commercial, ou domicilié dans certaines îles d'outre-mer, et avec une perte de CA d'au moins 80 % entre le 15/03/2020 et le 15/05/2020 ou au mois de Novembre 2020 ou une perte de 10 % entre 2019 et 2020</t>
  </si>
  <si>
    <t>L'activité est mentionnées en annexe 3 ou centre commercial outre-mer :</t>
  </si>
  <si>
    <t>L'activité est mentionnées en annexe 3 ou centre commercial, outre-mer :</t>
  </si>
  <si>
    <r>
      <t xml:space="preserve">À cocher en cas de fermeture administrative entre le 1er et 31 Mai 2021 </t>
    </r>
    <r>
      <rPr>
        <b/>
        <sz val="8"/>
        <color rgb="FF0D4174"/>
        <rFont val="Calibri"/>
        <family val="2"/>
        <scheme val="minor"/>
      </rPr>
      <t>&amp; avoir subi une perte d'au moins 20 % sur la période (le CA réalisé sur les activités de vente à distance avec retrait en magasin ou livraison sont à prendre en compte pour le calcul de la perte)</t>
    </r>
  </si>
  <si>
    <r>
      <t xml:space="preserve">À cocher en cas de fermeture administrative en Mai 2021 </t>
    </r>
    <r>
      <rPr>
        <b/>
        <sz val="8"/>
        <color rgb="FF0D4174"/>
        <rFont val="Calibri"/>
        <family val="2"/>
        <scheme val="minor"/>
      </rPr>
      <t>&amp; avoir subi une perte d'au moins 20 % sur la période (le CA réalisé sur les activités de vente à distance avec retrait en magasin ou livraison sont à prendre en compte pour le calcul de la perte)</t>
    </r>
  </si>
  <si>
    <t>Mai2</t>
  </si>
  <si>
    <t>- Mai :</t>
  </si>
  <si>
    <t>De Mai 2019 :</t>
  </si>
  <si>
    <t>Aides du fonds de solidarité du mois de Mai :</t>
  </si>
  <si>
    <t>A noter que concernant le CA de référence, il convient de choisir l'option retenue par l'entreprise, en cas de demande au titre du mois Février 2021, ou à défaut celui de Mars , Avril 2021</t>
  </si>
  <si>
    <t>* Aide de 1 500 € maximum en cas de perte d'au-moins 50 % du CA de Mai 2021</t>
  </si>
  <si>
    <t>* Aide de 15 à 20 % du CA maximum en cas de fermeture Administrative avec 20 % de perte de CA, où avoir une perte d'au moins 50 % ou 70 % et avoir une fermeture administrative entre le 1er et 31 Mai, être l'une des activités mentionnées en annexe 1, ou en annexe 2 ou 3 ou dans un centre commercial, ou domicilié dans certaines îles d'outre-mer, et avec une perte de CA d'au moins 80 % entre le 15/03/2020 et le 15/05/2020 ou au mois de Novembre 2020 ou une perte de 10 % entre 2019 et 2020</t>
  </si>
  <si>
    <t>* Aide de 10 000 € maximum en cas de fermeture Administrative avec 20 % de perte de CA, ou avoir une perte d'au moins 50 % et avoir une fermeture administrative entre le 1er et le 31 Mai, être l'une des activités mentionnées en annexe 1, ou en annexe 2 ou 3 ou dans un centre commercial, ou domicilié dans certaines îles d'outre-mer, mais avec une perte de CA d'au moins 80 % entre le 15/03/2020 et le 15/05/2020 ou au mois de Novembre 2020 ou une perte de 10 % entre 2019 et 2020</t>
  </si>
  <si>
    <t>Ou être en fermeture administrative entre le 1er et le 31 Mai et avoir subi une perte inférieure à 50% sur la période</t>
  </si>
  <si>
    <t>- Juin :</t>
  </si>
  <si>
    <t>- Juillet :</t>
  </si>
  <si>
    <t>Juillet</t>
  </si>
  <si>
    <t>Aides du fonds de solidarité du mois de Juin :</t>
  </si>
  <si>
    <t>Ces aides prévues à l'article 3-27 ne sont pas cumulables au titre du mois de Mai 2021</t>
  </si>
  <si>
    <r>
      <t xml:space="preserve">À cocher en cas de fermeture administrative en Juin 2021 </t>
    </r>
    <r>
      <rPr>
        <b/>
        <sz val="8"/>
        <color rgb="FF0D4174"/>
        <rFont val="Calibri"/>
        <family val="2"/>
        <scheme val="minor"/>
      </rPr>
      <t>&amp; avoir subi une perte d'au moins 20 % sur la période (le CA réalisé sur les activités de vente à distance avec retrait en magasin ou livraison sont à prendre en compte pour le calcul de la perte ainsi que pour le calcul de l'aide)</t>
    </r>
  </si>
  <si>
    <r>
      <t xml:space="preserve">À cocher en cas de fermeture administrative en Juillet 2021 </t>
    </r>
    <r>
      <rPr>
        <b/>
        <sz val="8"/>
        <color rgb="FF0D4174"/>
        <rFont val="Calibri"/>
        <family val="2"/>
        <scheme val="minor"/>
      </rPr>
      <t>&amp; avoir subi une perte d'au moins 20 % sur la période (le CA réalisé sur les activités de vente à distance avec retrait en magasin ou livraison sont à prendre en compte pour le calcul de la perte ainsi que pour le calcul de l'aide)</t>
    </r>
  </si>
  <si>
    <t>L'activité est en outre-mer :</t>
  </si>
  <si>
    <t>De Juin 2019 :</t>
  </si>
  <si>
    <t>Ces aides prévues à l'article 3-28 ne sont pas cumulables au titre du mois de Juin 2021</t>
  </si>
  <si>
    <t>Aide de 40 % :</t>
  </si>
  <si>
    <t>Aide de 20 % :</t>
  </si>
  <si>
    <t>* Aide de 20 % du CA en cas de fermeture Administrative avec 20 % de perte de CA</t>
  </si>
  <si>
    <t>- Avoir débuté son activité avant le 01 Mai 2019 ;</t>
  </si>
  <si>
    <t>- justifié d’une perte d’au moins 50 % de CA en Mai 2021 ;</t>
  </si>
  <si>
    <t>Aides du fonds de solidarité du mois de Juillet :</t>
  </si>
  <si>
    <t>Ces aides prévues à l'article 3-28 ne sont pas cumulables au titre du mois de Juillet 2021</t>
  </si>
  <si>
    <t>De Juillet 2019 :</t>
  </si>
  <si>
    <t>* Aide de 1 500 € maximum en cas de fermeture administrative d'au moins 10 jours et d'une perte d'au-moins 50 % du CA de Juin 2021</t>
  </si>
  <si>
    <t>À cocher en cas de fermeture administrative d'au moins 10 jours en Juin 2021</t>
  </si>
  <si>
    <t>À cocher en cas de fermeture administrative d'au moins 10 jours en Juillet 2021</t>
  </si>
  <si>
    <t>Juin2</t>
  </si>
  <si>
    <t>Juillet2</t>
  </si>
  <si>
    <t>Fermeture Administrative et 20 % de perte :</t>
  </si>
  <si>
    <t>Fermeture Administrative d'au moins 10 jours :</t>
  </si>
  <si>
    <t>* Aide de 1 500 € maximum en cas de fermeture administrative d'au moins 10 jours et d'une perte d'au-moins 50 % du CA de Juillet 2021</t>
  </si>
  <si>
    <t>A noter que concernant le CA de référence, il convient de choisir l'option retenue par l'entreprise, en cas de demande au titre du mois Février, ou à défaut celui de Mars , Avril, Mai ou Juin 2021. Il convient également d'avoir bénéficier de l'aide de l'article 3-26 ou de l'article 3-27.</t>
  </si>
  <si>
    <t>A noter que concernant le CA de référence, il convient de choisir l'option retenue par l'entreprise, en cas de demande au titre du mois Février, ou à défaut celui de Mars , Avril ou Mai 2021.Il convient également d'avoir bénéficier de l'aide de l'article 3-26 ou de l'article 3-27.</t>
  </si>
  <si>
    <t>EXPLICATIONS DES AIDES ANNONCÉES 
PAR LE DÉCRET 2020-371</t>
  </si>
  <si>
    <t>Aides du fonds de solidarité du mois d'Août :</t>
  </si>
  <si>
    <t>Ces aides prévues à l'article 3-28 ne sont pas cumulables au titre du mois d'Août 2021</t>
  </si>
  <si>
    <t>A noter que concernant le CA de référence, il convient de choisir l'option retenue par l'entreprise, en cas de demande au titre du mois Février, ou à défaut celui de Mars , Avril, Mai, Juin, Juillet 2021. Il convient également d'avoir bénéficier de l'aide de l'article 3-26 ou de l'article 3-27.</t>
  </si>
  <si>
    <t>D'Août 2019 :</t>
  </si>
  <si>
    <t>- Août :</t>
  </si>
  <si>
    <r>
      <t xml:space="preserve">À cocher en cas de fermeture administrative en Août 2021 </t>
    </r>
    <r>
      <rPr>
        <b/>
        <sz val="8"/>
        <color rgb="FF0D4174"/>
        <rFont val="Calibri"/>
        <family val="2"/>
        <scheme val="minor"/>
      </rPr>
      <t>&amp; avoir subi une perte d'au moins 20 % sur la période (le CA réalisé sur les activités de vente à distance avec retrait en magasin ou livraison sont à prendre en compte pour le calcul de la perte ainsi que pour le calcul de l'aide)</t>
    </r>
  </si>
  <si>
    <t>Août</t>
  </si>
  <si>
    <t>Août2</t>
  </si>
  <si>
    <t>Aide de 30 % :</t>
  </si>
  <si>
    <t>Fermeture Administrative d'au moins 8 jours :</t>
  </si>
  <si>
    <t>Août3</t>
  </si>
  <si>
    <r>
      <t xml:space="preserve">À cocher en cas de fermeture administrative d'au moins 8 jours en Août 2021 </t>
    </r>
    <r>
      <rPr>
        <b/>
        <sz val="8"/>
        <color rgb="FF0D4174"/>
        <rFont val="Calibri"/>
        <family val="2"/>
        <scheme val="minor"/>
      </rPr>
      <t>&amp; avoir subi une perte d'au moins 20 % sur la période (le CA réalisé sur les activités de vente à distance avec retrait en magasin ou livraison sont à prendre en compte pour le calcul de la perte ainsi que pour le calcul de l'aide)</t>
    </r>
  </si>
  <si>
    <r>
      <t xml:space="preserve">À cocher en cas de fermeture administrative d'au moins 21 jours en Août 2021 </t>
    </r>
    <r>
      <rPr>
        <b/>
        <sz val="8"/>
        <color rgb="FF0D4174"/>
        <rFont val="Calibri"/>
        <family val="2"/>
        <scheme val="minor"/>
      </rPr>
      <t>&amp; avoir subi une perte d'au moins 50 % sur la période (le CA réalisé sur les activités de vente à distance avec retrait en magasin ou livraison sont à prendre en compte pour le calcul de la perte ainsi que pour le calcul de l'aide)</t>
    </r>
  </si>
  <si>
    <t>Fermeture Administrative ou 21 jours et 20 % ou 50 % de perte</t>
  </si>
  <si>
    <t>* Aide de 1 500 € maximum en cas de fermeture administrative d'au moins 8 jours et d'une perte d'au-moins 20 % du CA d'Août 2021</t>
  </si>
  <si>
    <t>* Aide de 20 % du CA en cas de fermeture Administrative avec 20 % de perte de CA ou fermeture Administrative de 21 jours avec 50 % de perte de CA</t>
  </si>
  <si>
    <t>* Aide de 20 % de la perte dans la limite de 20 % du CA de référence, pour les entreprises ayant eu une perte de 10 % de CA* et leur activité mentionnée en annexe 1, ou en annexe 2, avec une perte de CA d'au moins 80 % entre le 15/03/2020 et le 15/05/2020 ou au mois de Novembre 2020 ou une perte de 10 % entre 2019 et 2020, ou domicilié dans certaines îles d'outre-mer</t>
  </si>
  <si>
    <t>* le CA réalisé sur les activités de vente à distance avec retrait en magasin ou livraison sont à prendre en compte pour le calcul de la perte ainsi que pour le calcul de l'aide</t>
  </si>
  <si>
    <t>* Aide de 30 % de la perte dans la limite de 20 % du CA de référence, pour les entreprises ayant eu une perte de 10 % de CA* et leur activité mentionnée en annexe 1, ou en annexe 2, avec une perte de CA d'au moins 80 % entre le 15/03/2020 et le 15/05/2020 ou au mois de Novembre 2020 ou une perte de 10 % entre 2019 et 2020, ou domicilié dans certaines îles d'outre-mer</t>
  </si>
  <si>
    <t>* Aide de 40 % de la perte dans la limite de 20 % du CA de référence, pour les entreprises ayant eu une perte de 10 % de CA* et leur activité mentionnée en annexe 1, ou en annexe 2, avec une perte de CA d'au moins 80 % entre le 15/03/2020 et le 15/05/2020 ou au mois de Novembre 2020 ou une perte de 10 % entre 2019 et 2020, ou domicilié dans certaines îles d'outre-mer</t>
  </si>
  <si>
    <t>*</t>
  </si>
  <si>
    <r>
      <rPr>
        <sz val="11"/>
        <color rgb="FF0D4174"/>
        <rFont val="Calibri"/>
        <family val="2"/>
        <scheme val="minor"/>
      </rPr>
      <t>*</t>
    </r>
    <r>
      <rPr>
        <sz val="8"/>
        <color rgb="FF0D4174"/>
        <rFont val="Calibri"/>
        <family val="2"/>
        <scheme val="minor"/>
      </rPr>
      <t xml:space="preserve"> le CA réalisé sur les activités de vente à distance avec retrait en magasin ou livraison est à prendre en compte</t>
    </r>
  </si>
  <si>
    <t>Prise en charge des coûts fixes du mois de Juillet :</t>
  </si>
  <si>
    <t>Prise en charge des coûts fixes du mois de Août :</t>
  </si>
  <si>
    <t>Prise en charge des coûts fixes du mois de Septembre :</t>
  </si>
  <si>
    <t>Ces aides prévues à l'article 3-28 ne sont pas cumulables au titre du mois de Septembre 2021</t>
  </si>
  <si>
    <t>- Septembre :</t>
  </si>
  <si>
    <t>Septembre2</t>
  </si>
  <si>
    <t>Septembre3</t>
  </si>
  <si>
    <t>A noter que concernant le CA de référence, il convient de choisir l'option retenue par l'entreprise, en cas de demande au titre du mois Février, ou à défaut celui de Mars , Avril, Mai, Juin, Juillet, Août 2021. Il convient également d'avoir bénéficier de l'aide de l'article 3-26 ou de l'article 3-27.</t>
  </si>
  <si>
    <t>* Aide de 1 500 € maximum en cas de fermeture administrative d'au moins 8 jours et d'une perte d'au-moins 20 % du CA de Septembre 2021</t>
  </si>
  <si>
    <t>de Septembre 2019 :</t>
  </si>
  <si>
    <t>En cas de couvre-feu pendant au moins 20 jours, l'aide peut-être de 40 % de la perte dans la limite de 20 % du CA de référence</t>
  </si>
  <si>
    <t>JUILLET</t>
  </si>
  <si>
    <t>AOÛT</t>
  </si>
  <si>
    <t>SEPTEMBRE</t>
  </si>
  <si>
    <t>- justifié d’une perte d’au moins 50 % de CA en Juin 2021 ;</t>
  </si>
  <si>
    <t>- justifié d’une perte d’au moins 50 % de CA en Juillet 2021 ;</t>
  </si>
  <si>
    <t>- justifié d’une perte d’au moins 50 % de CA en Août 2021 ;</t>
  </si>
  <si>
    <t>- justifié d’une perte d’au moins 50 % de CA en Septembre 2021 ;</t>
  </si>
  <si>
    <t xml:space="preserve">- Avoir un excédent brut d’exploitation négatif sur la période de Mai 2021 ; </t>
  </si>
  <si>
    <t xml:space="preserve">- Avoir un excédent brut d’exploitation négatif sur la période de Juin 2021 ; </t>
  </si>
  <si>
    <t xml:space="preserve">- Avoir un excédent brut d’exploitation négatif sur la période de Juillet 2021 ; </t>
  </si>
  <si>
    <t xml:space="preserve">- Avoir un excédent brut d’exploitation négatif sur la période d'Août 2021 ; </t>
  </si>
  <si>
    <t xml:space="preserve">- Avoir un excédent brut d’exploitation négatif sur la période de Septembre 2021 ; </t>
  </si>
  <si>
    <t>- Avoir débuté son activité avant le 01 Juillet 2019 ;</t>
  </si>
  <si>
    <t>- Avoir perçu le fond de solidarité en Juillet 2021 ;</t>
  </si>
  <si>
    <t>- Avoir perçu le fond de solidarité en Août 2021 ;</t>
  </si>
  <si>
    <t>- Avoir perçu le fond de solidarité en Septembre 2021 ;</t>
  </si>
  <si>
    <r>
      <t xml:space="preserve">À cocher en cas de fermeture administrative en Septembre 2021 </t>
    </r>
    <r>
      <rPr>
        <b/>
        <sz val="8"/>
        <color rgb="FF0D4174"/>
        <rFont val="Calibri"/>
        <family val="2"/>
        <scheme val="minor"/>
      </rPr>
      <t>&amp; avoir subi une perte d'au moins 20 % sur la période (le CA réalisé sur les activités de vente à distance avec retrait en magasin ou livraison sont à prendre en compte pour le calcul de la perte ainsi que pour le calcul de l'aide)</t>
    </r>
  </si>
  <si>
    <r>
      <t xml:space="preserve">À cocher en cas de fermeture administrative d'au moins 21 jours en Septembre 2021 </t>
    </r>
    <r>
      <rPr>
        <b/>
        <sz val="8"/>
        <color rgb="FF0D4174"/>
        <rFont val="Calibri"/>
        <family val="2"/>
        <scheme val="minor"/>
      </rPr>
      <t>&amp; avoir subi une perte d'au moins 50 % sur la période (le CA réalisé sur les activités de vente à distance avec retrait en magasin ou livraison sont à prendre en compte pour le calcul de la perte ainsi que pour le calcul de l'aide)</t>
    </r>
  </si>
  <si>
    <r>
      <t xml:space="preserve">À cocher en cas de fermeture administrative d'au moins 8 jours en Septembre 2021 </t>
    </r>
    <r>
      <rPr>
        <b/>
        <sz val="8"/>
        <color rgb="FF0D4174"/>
        <rFont val="Calibri"/>
        <family val="2"/>
        <scheme val="minor"/>
      </rPr>
      <t>&amp; avoir subi une perte d'au moins 20 % sur la période (le CA réalisé sur les activités de vente à distance avec retrait en magasin ou livraison sont à prendre en compte pour le calcul de la perte ainsi que pour le calcul de l'aide)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</si>
</sst>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43" formatCode="_-* #,##0.00\ _€_-;\-* #,##0.00\ _€_-;_-* &quot;-&quot;??\ _€_-;_-@_-"/>
    <numFmt numFmtId="164" formatCode="_-* #,##0\ &quot;€&quot;_-;\-* #,##0\ &quot;€&quot;_-;_-* &quot;-&quot;??\ &quot;€&quot;_-;_-@_-"/>
  </numFmts>
  <fonts count="65">
    <font>
      <sz val="11"/>
      <color theme="1"/>
      <name val="Calibri"/>
      <family val="2"/>
      <scheme val="minor"/>
    </font>
    <font>
      <sz val="11"/>
      <color theme="1"/>
      <name val="Calibri"/>
      <family val="2"/>
      <scheme val="minor"/>
    </font>
    <font>
      <i/>
      <sz val="11"/>
      <color theme="1"/>
      <name val="Calibri"/>
      <family val="2"/>
      <scheme val="minor"/>
    </font>
    <font>
      <sz val="11"/>
      <color theme="0"/>
      <name val="Calibri"/>
      <family val="2"/>
      <scheme val="minor"/>
    </font>
    <font>
      <i/>
      <sz val="11"/>
      <color rgb="FFFF0000"/>
      <name val="Calibri"/>
      <family val="2"/>
      <scheme val="minor"/>
    </font>
    <font>
      <i/>
      <sz val="12"/>
      <color theme="1"/>
      <name val="Calibri"/>
      <family val="2"/>
      <scheme val="minor"/>
    </font>
    <font>
      <b/>
      <sz val="14"/>
      <color rgb="FFC00000"/>
      <name val="Calibri"/>
      <family val="2"/>
      <scheme val="minor"/>
    </font>
    <font>
      <sz val="9"/>
      <color theme="1"/>
      <name val="DIN Light"/>
    </font>
    <font>
      <sz val="9"/>
      <color rgb="FF5B9BD5"/>
      <name val="DIN Light"/>
    </font>
    <font>
      <sz val="9"/>
      <color rgb="FF3C3C3C"/>
      <name val="DIN Light"/>
    </font>
    <font>
      <u/>
      <sz val="11"/>
      <color theme="10"/>
      <name val="Calibri"/>
      <family val="2"/>
      <scheme val="minor"/>
    </font>
    <font>
      <b/>
      <sz val="11"/>
      <color theme="0"/>
      <name val="Calibri"/>
      <family val="2"/>
      <scheme val="minor"/>
    </font>
    <font>
      <sz val="11"/>
      <color rgb="FF0D4174"/>
      <name val="Calibri"/>
      <family val="2"/>
      <scheme val="minor"/>
    </font>
    <font>
      <b/>
      <sz val="16"/>
      <color rgb="FF0D4174"/>
      <name val="Calibri"/>
      <family val="2"/>
      <scheme val="minor"/>
    </font>
    <font>
      <b/>
      <sz val="11"/>
      <color rgb="FF0D4174"/>
      <name val="Calibri"/>
      <family val="2"/>
      <scheme val="minor"/>
    </font>
    <font>
      <i/>
      <sz val="11"/>
      <color rgb="FF0D4174"/>
      <name val="Calibri"/>
      <family val="2"/>
      <scheme val="minor"/>
    </font>
    <font>
      <b/>
      <sz val="16"/>
      <color theme="0"/>
      <name val="Calibri"/>
      <family val="2"/>
      <scheme val="minor"/>
    </font>
    <font>
      <b/>
      <sz val="12"/>
      <color theme="0"/>
      <name val="Calibri"/>
      <family val="2"/>
      <scheme val="minor"/>
    </font>
    <font>
      <b/>
      <sz val="14"/>
      <color rgb="FF0D4174"/>
      <name val="Calibri"/>
      <family val="2"/>
      <scheme val="minor"/>
    </font>
    <font>
      <b/>
      <i/>
      <sz val="12"/>
      <color rgb="FF0D4174"/>
      <name val="Calibri"/>
      <family val="2"/>
      <scheme val="minor"/>
    </font>
    <font>
      <b/>
      <i/>
      <sz val="12"/>
      <color theme="0"/>
      <name val="Calibri"/>
      <family val="2"/>
      <scheme val="minor"/>
    </font>
    <font>
      <sz val="11"/>
      <color rgb="FFC00000"/>
      <name val="Calibri"/>
      <family val="2"/>
      <scheme val="minor"/>
    </font>
    <font>
      <b/>
      <sz val="18"/>
      <color theme="0"/>
      <name val="Calibri"/>
      <family val="2"/>
      <scheme val="minor"/>
    </font>
    <font>
      <b/>
      <sz val="12"/>
      <color rgb="FF0D4174"/>
      <name val="Calibri"/>
      <family val="2"/>
      <scheme val="minor"/>
    </font>
    <font>
      <sz val="11"/>
      <color rgb="FFFF0000"/>
      <name val="Calibri"/>
      <family val="2"/>
      <scheme val="minor"/>
    </font>
    <font>
      <b/>
      <u/>
      <sz val="11"/>
      <color rgb="FF0D4174"/>
      <name val="Calibri"/>
      <family val="2"/>
      <scheme val="minor"/>
    </font>
    <font>
      <sz val="11"/>
      <color rgb="FFFF0000"/>
      <name val="Calibri"/>
      <family val="2"/>
    </font>
    <font>
      <i/>
      <sz val="12"/>
      <color rgb="FF0D4174"/>
      <name val="Calibri"/>
      <family val="2"/>
      <scheme val="minor"/>
    </font>
    <font>
      <b/>
      <sz val="14"/>
      <color theme="0"/>
      <name val="Calibri"/>
      <family val="2"/>
      <scheme val="minor"/>
    </font>
    <font>
      <b/>
      <sz val="11"/>
      <color rgb="FF0D4174"/>
      <name val="Wingdings"/>
      <charset val="2"/>
    </font>
    <font>
      <sz val="11"/>
      <name val="Calibri"/>
      <family val="2"/>
      <scheme val="minor"/>
    </font>
    <font>
      <sz val="8"/>
      <color rgb="FF0D4174"/>
      <name val="Calibri"/>
      <family val="2"/>
      <scheme val="minor"/>
    </font>
    <font>
      <i/>
      <sz val="12"/>
      <color rgb="FFFF0000"/>
      <name val="Calibri"/>
      <family val="2"/>
      <scheme val="minor"/>
    </font>
    <font>
      <i/>
      <sz val="12"/>
      <color rgb="FFC00000"/>
      <name val="Calibri"/>
      <family val="2"/>
      <scheme val="minor"/>
    </font>
    <font>
      <sz val="9"/>
      <color rgb="FFFFC000"/>
      <name val="DIN Light"/>
    </font>
    <font>
      <i/>
      <sz val="8"/>
      <color rgb="FF0D4174"/>
      <name val="Calibri"/>
      <family val="2"/>
      <scheme val="minor"/>
    </font>
    <font>
      <b/>
      <i/>
      <sz val="11"/>
      <color rgb="FF0D4174"/>
      <name val="Calibri"/>
      <family val="2"/>
      <scheme val="minor"/>
    </font>
    <font>
      <i/>
      <sz val="9"/>
      <color rgb="FF0D4174"/>
      <name val="Calibri"/>
      <family val="2"/>
      <scheme val="minor"/>
    </font>
    <font>
      <b/>
      <i/>
      <sz val="22"/>
      <color rgb="FF0D4174"/>
      <name val="Calibri"/>
      <family val="2"/>
      <scheme val="minor"/>
    </font>
    <font>
      <strike/>
      <sz val="9"/>
      <color rgb="FF3C3C3C"/>
      <name val="DIN Light"/>
    </font>
    <font>
      <strike/>
      <sz val="9"/>
      <color rgb="FFED7D31"/>
      <name val="DIN Light"/>
    </font>
    <font>
      <sz val="9"/>
      <color rgb="FFED7D31"/>
      <name val="DIN Light"/>
    </font>
    <font>
      <sz val="9"/>
      <color rgb="FF70AD47"/>
      <name val="DIN Light"/>
    </font>
    <font>
      <sz val="9"/>
      <color theme="5"/>
      <name val="DIN Light"/>
    </font>
    <font>
      <sz val="9"/>
      <color theme="9"/>
      <name val="DIN Light"/>
    </font>
    <font>
      <sz val="9"/>
      <color theme="4"/>
      <name val="DIN Light"/>
    </font>
    <font>
      <b/>
      <sz val="9"/>
      <color rgb="FF70AD47"/>
      <name val="DIN Light"/>
    </font>
    <font>
      <b/>
      <sz val="9"/>
      <color rgb="FF5B9BD5"/>
      <name val="DIN Light"/>
    </font>
    <font>
      <b/>
      <strike/>
      <sz val="9"/>
      <color rgb="FFED7D31"/>
      <name val="DIN Light"/>
    </font>
    <font>
      <b/>
      <sz val="9"/>
      <color rgb="FFED7D31"/>
      <name val="DIN Light"/>
    </font>
    <font>
      <b/>
      <sz val="9"/>
      <color theme="5"/>
      <name val="DIN Light"/>
    </font>
    <font>
      <b/>
      <sz val="9"/>
      <color theme="9"/>
      <name val="DIN Light"/>
    </font>
    <font>
      <strike/>
      <sz val="9"/>
      <color theme="9"/>
      <name val="DIN Light"/>
    </font>
    <font>
      <sz val="11"/>
      <color rgb="FF7030A0"/>
      <name val="Calibri"/>
      <family val="2"/>
      <scheme val="minor"/>
    </font>
    <font>
      <b/>
      <strike/>
      <sz val="9"/>
      <color rgb="FF5B9BD5"/>
      <name val="DIN Light"/>
    </font>
    <font>
      <sz val="12"/>
      <color rgb="FF212529"/>
      <name val="Segoe UI"/>
      <family val="2"/>
    </font>
    <font>
      <b/>
      <sz val="10"/>
      <color theme="0"/>
      <name val="Calibri"/>
      <family val="2"/>
      <scheme val="minor"/>
    </font>
    <font>
      <sz val="11"/>
      <color theme="1"/>
      <name val="Wingdings"/>
      <charset val="2"/>
    </font>
    <font>
      <i/>
      <u/>
      <sz val="11"/>
      <color rgb="FF0D4174"/>
      <name val="Calibri"/>
      <family val="2"/>
      <scheme val="minor"/>
    </font>
    <font>
      <u/>
      <sz val="11"/>
      <color theme="1"/>
      <name val="Calibri"/>
      <family val="2"/>
      <scheme val="minor"/>
    </font>
    <font>
      <b/>
      <sz val="8"/>
      <color rgb="FF0D4174"/>
      <name val="Calibri"/>
      <family val="2"/>
      <scheme val="minor"/>
    </font>
    <font>
      <i/>
      <sz val="10"/>
      <color rgb="FF0D4174"/>
      <name val="Calibri"/>
      <family val="2"/>
      <scheme val="minor"/>
    </font>
    <font>
      <sz val="9"/>
      <color rgb="FF70AD47"/>
      <name val="DIN Light"/>
      <family val="3"/>
    </font>
    <font>
      <b/>
      <i/>
      <sz val="11"/>
      <color theme="0" tint="-0.499984740745262"/>
      <name val="Calibri"/>
      <family val="2"/>
      <scheme val="minor"/>
    </font>
    <font>
      <b/>
      <i/>
      <sz val="8"/>
      <color rgb="FF0D4174"/>
      <name val="Calibri"/>
      <family val="2"/>
      <scheme val="minor"/>
    </font>
  </fonts>
  <fills count="8">
    <fill>
      <patternFill patternType="none"/>
    </fill>
    <fill>
      <patternFill patternType="gray125"/>
    </fill>
    <fill>
      <patternFill patternType="solid">
        <fgColor rgb="FFFFFFFF"/>
        <bgColor indexed="64"/>
      </patternFill>
    </fill>
    <fill>
      <patternFill patternType="solid">
        <fgColor rgb="FF0D4174"/>
        <bgColor indexed="64"/>
      </patternFill>
    </fill>
    <fill>
      <patternFill patternType="solid">
        <fgColor rgb="FF8ECFDD"/>
        <bgColor indexed="64"/>
      </patternFill>
    </fill>
    <fill>
      <patternFill patternType="solid">
        <fgColor rgb="FFFAC230"/>
        <bgColor indexed="64"/>
      </patternFill>
    </fill>
    <fill>
      <patternFill patternType="solid">
        <fgColor rgb="FFFFFF00"/>
        <bgColor indexed="64"/>
      </patternFill>
    </fill>
    <fill>
      <patternFill patternType="solid">
        <fgColor rgb="FFFFC000"/>
        <bgColor indexed="64"/>
      </patternFill>
    </fill>
  </fills>
  <borders count="44">
    <border>
      <left/>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bottom style="medium">
        <color rgb="FF0D4174"/>
      </bottom>
      <diagonal/>
    </border>
    <border>
      <left style="medium">
        <color rgb="FF0D4174"/>
      </left>
      <right style="medium">
        <color rgb="FF0D4174"/>
      </right>
      <top style="medium">
        <color rgb="FF0D4174"/>
      </top>
      <bottom style="medium">
        <color rgb="FF0D4174"/>
      </bottom>
      <diagonal/>
    </border>
    <border>
      <left style="medium">
        <color rgb="FF0D4174"/>
      </left>
      <right/>
      <top style="medium">
        <color rgb="FF0D4174"/>
      </top>
      <bottom/>
      <diagonal/>
    </border>
    <border>
      <left/>
      <right/>
      <top style="medium">
        <color rgb="FF0D4174"/>
      </top>
      <bottom/>
      <diagonal/>
    </border>
    <border>
      <left/>
      <right style="medium">
        <color rgb="FF0D4174"/>
      </right>
      <top style="medium">
        <color rgb="FF0D4174"/>
      </top>
      <bottom/>
      <diagonal/>
    </border>
    <border>
      <left/>
      <right/>
      <top/>
      <bottom style="thin">
        <color rgb="FF0D4174"/>
      </bottom>
      <diagonal/>
    </border>
    <border>
      <left/>
      <right style="thin">
        <color rgb="FF0D4174"/>
      </right>
      <top/>
      <bottom/>
      <diagonal/>
    </border>
    <border>
      <left style="thin">
        <color rgb="FF0D4174"/>
      </left>
      <right/>
      <top/>
      <bottom style="thin">
        <color rgb="FF0D4174"/>
      </bottom>
      <diagonal/>
    </border>
    <border>
      <left/>
      <right style="thin">
        <color rgb="FF0D4174"/>
      </right>
      <top style="thin">
        <color rgb="FF0D4174"/>
      </top>
      <bottom/>
      <diagonal/>
    </border>
    <border>
      <left/>
      <right/>
      <top style="thin">
        <color rgb="FF0D4174"/>
      </top>
      <bottom/>
      <diagonal/>
    </border>
    <border>
      <left/>
      <right style="thin">
        <color rgb="FF0D4174"/>
      </right>
      <top/>
      <bottom style="thin">
        <color rgb="FF0D4174"/>
      </bottom>
      <diagonal/>
    </border>
    <border>
      <left style="medium">
        <color rgb="FF0D4174"/>
      </left>
      <right/>
      <top style="medium">
        <color rgb="FF0D4174"/>
      </top>
      <bottom style="medium">
        <color rgb="FF0D4174"/>
      </bottom>
      <diagonal/>
    </border>
    <border>
      <left/>
      <right style="medium">
        <color rgb="FF0D4174"/>
      </right>
      <top style="medium">
        <color rgb="FF0D4174"/>
      </top>
      <bottom style="medium">
        <color rgb="FF0D4174"/>
      </bottom>
      <diagonal/>
    </border>
    <border>
      <left/>
      <right/>
      <top style="medium">
        <color rgb="FF0D4174"/>
      </top>
      <bottom style="medium">
        <color rgb="FF0D4174"/>
      </bottom>
      <diagonal/>
    </border>
    <border>
      <left style="medium">
        <color rgb="FF0D4174"/>
      </left>
      <right/>
      <top/>
      <bottom/>
      <diagonal/>
    </border>
    <border>
      <left/>
      <right style="medium">
        <color rgb="FF0D4174"/>
      </right>
      <top/>
      <bottom/>
      <diagonal/>
    </border>
    <border>
      <left style="medium">
        <color rgb="FF0D4174"/>
      </left>
      <right/>
      <top/>
      <bottom style="medium">
        <color rgb="FF0D4174"/>
      </bottom>
      <diagonal/>
    </border>
    <border>
      <left/>
      <right style="medium">
        <color rgb="FF0D4174"/>
      </right>
      <top/>
      <bottom style="medium">
        <color rgb="FF0D417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D4174"/>
      </left>
      <right style="thin">
        <color rgb="FF0D4174"/>
      </right>
      <top/>
      <bottom/>
      <diagonal/>
    </border>
    <border>
      <left style="thin">
        <color rgb="FF0D4174"/>
      </left>
      <right/>
      <top style="thin">
        <color rgb="FF0D4174"/>
      </top>
      <bottom/>
      <diagonal/>
    </border>
    <border>
      <left style="thin">
        <color rgb="FF0D4174"/>
      </left>
      <right/>
      <top/>
      <bottom/>
      <diagonal/>
    </border>
    <border>
      <left style="thin">
        <color rgb="FF0D4174"/>
      </left>
      <right/>
      <top style="thin">
        <color rgb="FF0D4174"/>
      </top>
      <bottom style="thin">
        <color rgb="FF0D4174"/>
      </bottom>
      <diagonal/>
    </border>
    <border>
      <left/>
      <right style="thin">
        <color rgb="FF0D4174"/>
      </right>
      <top style="thin">
        <color rgb="FF0D4174"/>
      </top>
      <bottom style="thin">
        <color rgb="FF0D417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rgb="FF0D4174"/>
      </top>
      <bottom style="thin">
        <color rgb="FF0D417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43" fontId="1" fillId="0" borderId="0" applyFont="0" applyFill="0" applyBorder="0" applyAlignment="0" applyProtection="0"/>
  </cellStyleXfs>
  <cellXfs count="623">
    <xf numFmtId="0" fontId="0" fillId="0" borderId="0" xfId="0"/>
    <xf numFmtId="0" fontId="0" fillId="0" borderId="0" xfId="0" applyBorder="1"/>
    <xf numFmtId="14" fontId="0" fillId="0" borderId="0" xfId="0" applyNumberFormat="1"/>
    <xf numFmtId="0" fontId="0" fillId="0" borderId="0" xfId="0" quotePrefix="1"/>
    <xf numFmtId="0" fontId="0" fillId="0" borderId="1" xfId="0" applyBorder="1"/>
    <xf numFmtId="0" fontId="0" fillId="0" borderId="0" xfId="0" applyFill="1"/>
    <xf numFmtId="44" fontId="0" fillId="0" borderId="0" xfId="0" applyNumberFormat="1"/>
    <xf numFmtId="44" fontId="0" fillId="0" borderId="0" xfId="0" applyNumberFormat="1" applyBorder="1"/>
    <xf numFmtId="0" fontId="0" fillId="0" borderId="0" xfId="0" applyFill="1" applyBorder="1"/>
    <xf numFmtId="0" fontId="0" fillId="0" borderId="0" xfId="0" applyAlignment="1">
      <alignment horizont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7" xfId="0" applyBorder="1"/>
    <xf numFmtId="0" fontId="0" fillId="0" borderId="6" xfId="0" applyBorder="1"/>
    <xf numFmtId="0" fontId="0" fillId="0" borderId="8" xfId="0" applyBorder="1"/>
    <xf numFmtId="0" fontId="3" fillId="0" borderId="0" xfId="0" applyFont="1"/>
    <xf numFmtId="44" fontId="0" fillId="0" borderId="0" xfId="0" applyNumberFormat="1" applyBorder="1" applyAlignment="1">
      <alignment horizontal="right"/>
    </xf>
    <xf numFmtId="9" fontId="0" fillId="0" borderId="0" xfId="2" applyFont="1" applyBorder="1" applyAlignment="1">
      <alignment horizontal="right"/>
    </xf>
    <xf numFmtId="44" fontId="0" fillId="0" borderId="7" xfId="1" applyFont="1" applyBorder="1"/>
    <xf numFmtId="164" fontId="0" fillId="0" borderId="0" xfId="1" applyNumberFormat="1" applyFont="1" applyBorder="1"/>
    <xf numFmtId="164" fontId="0" fillId="0" borderId="7" xfId="1" applyNumberFormat="1" applyFont="1" applyBorder="1"/>
    <xf numFmtId="164" fontId="0" fillId="0" borderId="0" xfId="1" applyNumberFormat="1" applyFont="1" applyBorder="1" applyAlignment="1">
      <alignment horizontal="right"/>
    </xf>
    <xf numFmtId="0" fontId="5" fillId="0" borderId="0" xfId="0" applyFont="1" applyAlignment="1">
      <alignment horizontal="center"/>
    </xf>
    <xf numFmtId="44" fontId="0" fillId="0" borderId="7" xfId="0" applyNumberFormat="1" applyBorder="1"/>
    <xf numFmtId="0" fontId="0" fillId="0" borderId="5" xfId="0" applyBorder="1" applyAlignment="1">
      <alignment horizontal="center"/>
    </xf>
    <xf numFmtId="9" fontId="0" fillId="0" borderId="5" xfId="2" applyFont="1" applyBorder="1"/>
    <xf numFmtId="9" fontId="0" fillId="0" borderId="5" xfId="2" applyFont="1" applyBorder="1" applyAlignment="1">
      <alignment horizontal="right"/>
    </xf>
    <xf numFmtId="9" fontId="0" fillId="0" borderId="7" xfId="2" applyFont="1" applyBorder="1" applyAlignment="1">
      <alignment horizontal="right"/>
    </xf>
    <xf numFmtId="9" fontId="0" fillId="0" borderId="7" xfId="2" applyFont="1" applyFill="1" applyBorder="1"/>
    <xf numFmtId="0" fontId="4" fillId="0" borderId="0" xfId="0" applyFont="1" applyAlignment="1">
      <alignment horizontal="left" vertical="top" wrapText="1"/>
    </xf>
    <xf numFmtId="0" fontId="7" fillId="0" borderId="0" xfId="0" applyFont="1" applyAlignment="1">
      <alignment vertical="center"/>
    </xf>
    <xf numFmtId="0" fontId="7" fillId="2" borderId="0" xfId="0" applyFont="1" applyFill="1" applyAlignment="1">
      <alignment vertical="center"/>
    </xf>
    <xf numFmtId="0" fontId="8" fillId="0" borderId="0" xfId="0" applyFont="1" applyAlignment="1">
      <alignment vertical="center"/>
    </xf>
    <xf numFmtId="0" fontId="8" fillId="2" borderId="0" xfId="0" applyFont="1" applyFill="1" applyAlignment="1">
      <alignment vertical="center"/>
    </xf>
    <xf numFmtId="44" fontId="0" fillId="0" borderId="5" xfId="0" applyNumberFormat="1" applyBorder="1"/>
    <xf numFmtId="44" fontId="0" fillId="0" borderId="0" xfId="1" applyFont="1" applyBorder="1" applyAlignment="1">
      <alignment horizontal="right"/>
    </xf>
    <xf numFmtId="10" fontId="0" fillId="0" borderId="0" xfId="2" applyNumberFormat="1" applyFont="1" applyBorder="1"/>
    <xf numFmtId="0" fontId="4" fillId="0" borderId="0" xfId="0" applyFont="1" applyAlignment="1">
      <alignment vertical="top"/>
    </xf>
    <xf numFmtId="0" fontId="12" fillId="0" borderId="0" xfId="0" applyFont="1"/>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xf numFmtId="0" fontId="12" fillId="0" borderId="0" xfId="0" applyFont="1" applyBorder="1"/>
    <xf numFmtId="0" fontId="12" fillId="0" borderId="0" xfId="0" applyFont="1" applyAlignment="1">
      <alignment horizontal="left"/>
    </xf>
    <xf numFmtId="0" fontId="12" fillId="0" borderId="7" xfId="0" applyFont="1" applyBorder="1"/>
    <xf numFmtId="0" fontId="12" fillId="0" borderId="0" xfId="0" applyFont="1" applyAlignment="1">
      <alignment horizontal="center"/>
    </xf>
    <xf numFmtId="0" fontId="12" fillId="0" borderId="0" xfId="0" applyFont="1" applyBorder="1" applyAlignment="1">
      <alignment horizontal="center"/>
    </xf>
    <xf numFmtId="0" fontId="12" fillId="0" borderId="0" xfId="0" applyFont="1" applyAlignment="1"/>
    <xf numFmtId="44" fontId="15" fillId="0" borderId="0" xfId="1" applyFont="1"/>
    <xf numFmtId="44" fontId="12" fillId="0" borderId="0" xfId="1" applyFont="1" applyBorder="1"/>
    <xf numFmtId="0" fontId="15" fillId="0" borderId="0" xfId="0" quotePrefix="1" applyFont="1" applyAlignment="1">
      <alignment horizontal="right"/>
    </xf>
    <xf numFmtId="44" fontId="12" fillId="0" borderId="0" xfId="0" applyNumberFormat="1" applyFont="1"/>
    <xf numFmtId="44" fontId="12" fillId="0" borderId="0" xfId="1" applyFont="1"/>
    <xf numFmtId="0" fontId="15" fillId="0" borderId="0" xfId="0" applyFont="1" applyBorder="1"/>
    <xf numFmtId="0" fontId="15" fillId="0" borderId="0" xfId="0" applyFont="1" applyAlignment="1">
      <alignment horizontal="left"/>
    </xf>
    <xf numFmtId="0" fontId="15" fillId="0" borderId="0" xfId="0" applyFont="1" applyAlignment="1">
      <alignment horizontal="center"/>
    </xf>
    <xf numFmtId="0" fontId="12" fillId="0" borderId="0" xfId="0" applyFont="1" applyFill="1"/>
    <xf numFmtId="0" fontId="15" fillId="0" borderId="0" xfId="0" applyFont="1" applyFill="1" applyAlignment="1">
      <alignment horizontal="left"/>
    </xf>
    <xf numFmtId="0" fontId="15" fillId="0" borderId="0" xfId="0" applyFont="1"/>
    <xf numFmtId="9" fontId="12" fillId="0" borderId="0" xfId="2" applyFont="1" applyBorder="1"/>
    <xf numFmtId="9" fontId="12" fillId="0" borderId="0" xfId="2" applyFont="1" applyFill="1"/>
    <xf numFmtId="0" fontId="5" fillId="0" borderId="12" xfId="0" applyFont="1" applyBorder="1" applyAlignment="1">
      <alignment horizontal="center"/>
    </xf>
    <xf numFmtId="0" fontId="12" fillId="0" borderId="14" xfId="0" applyFont="1" applyBorder="1"/>
    <xf numFmtId="0" fontId="12" fillId="0" borderId="15" xfId="0" applyFont="1" applyBorder="1"/>
    <xf numFmtId="0" fontId="12" fillId="0" borderId="16" xfId="0" applyFont="1" applyBorder="1"/>
    <xf numFmtId="0" fontId="12" fillId="0" borderId="14" xfId="0" applyFont="1" applyBorder="1" applyAlignment="1"/>
    <xf numFmtId="0" fontId="0" fillId="0" borderId="15" xfId="0" applyBorder="1"/>
    <xf numFmtId="0" fontId="12" fillId="0" borderId="18" xfId="0" applyFont="1" applyBorder="1"/>
    <xf numFmtId="0" fontId="0" fillId="0" borderId="17" xfId="0" applyBorder="1"/>
    <xf numFmtId="0" fontId="15" fillId="0" borderId="15" xfId="0" applyFont="1" applyBorder="1"/>
    <xf numFmtId="0" fontId="0" fillId="0" borderId="15" xfId="0" applyBorder="1" applyAlignment="1">
      <alignment vertical="center" wrapText="1"/>
    </xf>
    <xf numFmtId="0" fontId="2" fillId="0" borderId="15" xfId="0" applyFont="1" applyBorder="1" applyAlignment="1">
      <alignment vertical="center" wrapText="1"/>
    </xf>
    <xf numFmtId="0" fontId="0" fillId="0" borderId="15" xfId="0" applyBorder="1" applyAlignment="1">
      <alignment horizontal="center" vertical="center" wrapText="1"/>
    </xf>
    <xf numFmtId="0" fontId="0" fillId="0" borderId="19" xfId="0" applyBorder="1"/>
    <xf numFmtId="0" fontId="14" fillId="0" borderId="0" xfId="0" applyFont="1"/>
    <xf numFmtId="0" fontId="16" fillId="0" borderId="0" xfId="0" applyFont="1" applyFill="1" applyAlignment="1">
      <alignment vertical="center"/>
    </xf>
    <xf numFmtId="0" fontId="0" fillId="0" borderId="14" xfId="0" applyBorder="1"/>
    <xf numFmtId="0" fontId="0" fillId="0" borderId="14" xfId="0" applyFill="1" applyBorder="1"/>
    <xf numFmtId="0" fontId="6" fillId="0" borderId="14" xfId="0" applyFont="1" applyBorder="1" applyAlignment="1">
      <alignment horizontal="center" wrapText="1"/>
    </xf>
    <xf numFmtId="0" fontId="3" fillId="3" borderId="24" xfId="0" applyFont="1" applyFill="1" applyBorder="1"/>
    <xf numFmtId="0" fontId="3" fillId="3" borderId="23" xfId="0" applyFont="1" applyFill="1" applyBorder="1"/>
    <xf numFmtId="0" fontId="3" fillId="3" borderId="25" xfId="0" applyFont="1" applyFill="1" applyBorder="1"/>
    <xf numFmtId="0" fontId="3" fillId="3" borderId="9" xfId="0" applyFont="1" applyFill="1" applyBorder="1"/>
    <xf numFmtId="0" fontId="3" fillId="3" borderId="26" xfId="0" applyFont="1" applyFill="1" applyBorder="1"/>
    <xf numFmtId="0" fontId="12" fillId="0" borderId="0" xfId="0" applyFont="1" applyBorder="1" applyAlignment="1">
      <alignment horizontal="left"/>
    </xf>
    <xf numFmtId="0" fontId="14" fillId="0" borderId="0" xfId="0" applyFont="1" applyAlignment="1">
      <alignment horizontal="right"/>
    </xf>
    <xf numFmtId="0" fontId="21" fillId="0" borderId="0" xfId="0" applyFont="1" applyAlignment="1">
      <alignment horizontal="left"/>
    </xf>
    <xf numFmtId="0" fontId="21" fillId="0" borderId="15" xfId="0" applyFont="1" applyBorder="1"/>
    <xf numFmtId="0" fontId="21" fillId="0" borderId="0" xfId="0" applyFont="1"/>
    <xf numFmtId="0" fontId="12" fillId="0" borderId="0" xfId="0" applyFont="1" applyFill="1" applyBorder="1"/>
    <xf numFmtId="0" fontId="20" fillId="0" borderId="0" xfId="0" applyFont="1" applyFill="1" applyAlignment="1">
      <alignment vertical="top" wrapText="1"/>
    </xf>
    <xf numFmtId="0" fontId="20" fillId="0" borderId="0" xfId="0" applyFont="1" applyFill="1" applyAlignment="1">
      <alignment horizontal="left" vertical="top" wrapText="1"/>
    </xf>
    <xf numFmtId="0" fontId="17" fillId="0" borderId="0" xfId="0" applyFont="1" applyFill="1" applyBorder="1"/>
    <xf numFmtId="0" fontId="17" fillId="0" borderId="0" xfId="0" applyFont="1" applyFill="1"/>
    <xf numFmtId="0" fontId="19" fillId="0" borderId="0" xfId="0" applyFont="1" applyFill="1" applyBorder="1" applyAlignment="1">
      <alignment horizontal="left" vertical="top" wrapText="1"/>
    </xf>
    <xf numFmtId="0" fontId="22" fillId="0" borderId="0" xfId="0" applyFont="1" applyFill="1" applyBorder="1" applyAlignment="1">
      <alignment horizontal="center" vertical="center"/>
    </xf>
    <xf numFmtId="0" fontId="15" fillId="0" borderId="0" xfId="0" applyFont="1" applyAlignment="1">
      <alignment horizontal="left"/>
    </xf>
    <xf numFmtId="0" fontId="24" fillId="0" borderId="0" xfId="0" applyFont="1"/>
    <xf numFmtId="0" fontId="15" fillId="0" borderId="0" xfId="0" applyFont="1" applyAlignment="1">
      <alignment horizontal="center"/>
    </xf>
    <xf numFmtId="0" fontId="22" fillId="0" borderId="0" xfId="3" applyFont="1" applyFill="1" applyBorder="1" applyAlignment="1">
      <alignment horizontal="center" vertical="center"/>
    </xf>
    <xf numFmtId="0" fontId="26" fillId="0" borderId="0" xfId="0" applyFont="1" applyAlignment="1">
      <alignment vertical="top"/>
    </xf>
    <xf numFmtId="0" fontId="5" fillId="0" borderId="0" xfId="0" applyFont="1" applyBorder="1" applyAlignment="1">
      <alignment horizontal="center"/>
    </xf>
    <xf numFmtId="0" fontId="18" fillId="0" borderId="0" xfId="0" applyFont="1" applyFill="1" applyBorder="1" applyAlignment="1">
      <alignment vertical="center" wrapText="1"/>
    </xf>
    <xf numFmtId="0" fontId="17" fillId="3" borderId="0" xfId="0" applyFont="1" applyFill="1" applyAlignment="1">
      <alignment vertical="top" wrapText="1"/>
    </xf>
    <xf numFmtId="0" fontId="11" fillId="3" borderId="0" xfId="0" applyFont="1" applyFill="1"/>
    <xf numFmtId="0" fontId="0" fillId="0" borderId="0" xfId="0" applyBorder="1" applyAlignment="1">
      <alignment horizontal="center"/>
    </xf>
    <xf numFmtId="0" fontId="0" fillId="0" borderId="0" xfId="0" applyAlignment="1">
      <alignment horizontal="center"/>
    </xf>
    <xf numFmtId="0" fontId="24" fillId="0" borderId="0" xfId="0" applyFont="1" applyBorder="1"/>
    <xf numFmtId="0" fontId="24" fillId="0" borderId="7" xfId="0" applyFont="1" applyBorder="1"/>
    <xf numFmtId="0" fontId="19" fillId="0" borderId="0" xfId="0" applyFont="1" applyAlignment="1">
      <alignment horizontal="center"/>
    </xf>
    <xf numFmtId="0" fontId="17" fillId="3" borderId="0" xfId="0" applyFont="1" applyFill="1" applyAlignment="1">
      <alignment vertical="center" wrapText="1"/>
    </xf>
    <xf numFmtId="0" fontId="12" fillId="0" borderId="28" xfId="0" applyFont="1" applyBorder="1"/>
    <xf numFmtId="44" fontId="12" fillId="5" borderId="10" xfId="1" applyFont="1" applyFill="1" applyBorder="1" applyProtection="1">
      <protection locked="0"/>
    </xf>
    <xf numFmtId="0" fontId="15" fillId="0" borderId="0" xfId="0" applyFont="1" applyAlignment="1">
      <alignment horizontal="left"/>
    </xf>
    <xf numFmtId="0" fontId="15" fillId="0" borderId="0" xfId="0" applyFont="1" applyAlignment="1">
      <alignment horizontal="left"/>
    </xf>
    <xf numFmtId="0" fontId="0" fillId="0" borderId="0" xfId="0" applyBorder="1" applyAlignment="1">
      <alignment horizontal="center"/>
    </xf>
    <xf numFmtId="0" fontId="0" fillId="0" borderId="0" xfId="0" applyBorder="1" applyAlignment="1">
      <alignment horizontal="right"/>
    </xf>
    <xf numFmtId="0" fontId="0" fillId="0" borderId="7" xfId="0" applyBorder="1" applyAlignment="1">
      <alignment horizontal="right"/>
    </xf>
    <xf numFmtId="0" fontId="27" fillId="0" borderId="0" xfId="0" applyFont="1" applyAlignment="1">
      <alignment horizontal="left"/>
    </xf>
    <xf numFmtId="0" fontId="15" fillId="0" borderId="0" xfId="0" applyFont="1" applyFill="1"/>
    <xf numFmtId="0" fontId="2" fillId="0" borderId="0" xfId="0" applyFont="1"/>
    <xf numFmtId="9" fontId="15" fillId="0" borderId="0" xfId="2" applyFont="1" applyFill="1"/>
    <xf numFmtId="0" fontId="0" fillId="0" borderId="5" xfId="0" applyFill="1" applyBorder="1" applyAlignment="1">
      <alignment vertical="center"/>
    </xf>
    <xf numFmtId="0" fontId="0" fillId="0" borderId="5" xfId="0" applyBorder="1" applyAlignment="1">
      <alignment vertical="center"/>
    </xf>
    <xf numFmtId="0" fontId="0" fillId="0" borderId="7" xfId="0" applyBorder="1" applyAlignment="1">
      <alignment horizontal="center"/>
    </xf>
    <xf numFmtId="0" fontId="0" fillId="0" borderId="2" xfId="0" applyFill="1" applyBorder="1"/>
    <xf numFmtId="0" fontId="0" fillId="0" borderId="2" xfId="0" quotePrefix="1" applyBorder="1"/>
    <xf numFmtId="0" fontId="0" fillId="0" borderId="0" xfId="0" applyFill="1" applyBorder="1" applyAlignment="1">
      <alignment horizontal="right" vertical="center"/>
    </xf>
    <xf numFmtId="0" fontId="0" fillId="0" borderId="0" xfId="0" applyBorder="1" applyAlignment="1"/>
    <xf numFmtId="0" fontId="15" fillId="0" borderId="0" xfId="0" applyFont="1" applyAlignment="1">
      <alignment wrapText="1"/>
    </xf>
    <xf numFmtId="9" fontId="0" fillId="0" borderId="0" xfId="2" applyFont="1" applyFill="1" applyBorder="1" applyAlignment="1">
      <alignment horizontal="right"/>
    </xf>
    <xf numFmtId="164" fontId="0" fillId="0" borderId="5" xfId="1" applyNumberFormat="1" applyFont="1" applyBorder="1"/>
    <xf numFmtId="164" fontId="0" fillId="0" borderId="5" xfId="1" applyNumberFormat="1" applyFont="1" applyBorder="1" applyAlignment="1">
      <alignment horizontal="right"/>
    </xf>
    <xf numFmtId="0" fontId="0" fillId="0" borderId="5" xfId="0" applyBorder="1" applyAlignment="1">
      <alignment horizontal="right"/>
    </xf>
    <xf numFmtId="0" fontId="21" fillId="0" borderId="0" xfId="0" applyFont="1" applyAlignment="1">
      <alignment vertical="center" wrapText="1"/>
    </xf>
    <xf numFmtId="0" fontId="11" fillId="3" borderId="0" xfId="0" quotePrefix="1" applyFont="1" applyFill="1" applyBorder="1"/>
    <xf numFmtId="0" fontId="11" fillId="3" borderId="0" xfId="0" applyFont="1" applyFill="1" applyBorder="1"/>
    <xf numFmtId="0" fontId="30" fillId="0" borderId="0" xfId="0" applyFont="1" applyBorder="1"/>
    <xf numFmtId="44" fontId="30" fillId="0" borderId="0" xfId="0" applyNumberFormat="1" applyFont="1" applyBorder="1" applyAlignment="1">
      <alignment horizontal="right"/>
    </xf>
    <xf numFmtId="164" fontId="30" fillId="0" borderId="0" xfId="1" applyNumberFormat="1" applyFont="1" applyBorder="1" applyAlignment="1">
      <alignment horizontal="right"/>
    </xf>
    <xf numFmtId="164" fontId="30" fillId="0" borderId="7" xfId="1" applyNumberFormat="1" applyFont="1" applyBorder="1"/>
    <xf numFmtId="44" fontId="30" fillId="0" borderId="0" xfId="1" applyFont="1" applyBorder="1" applyAlignment="1">
      <alignment horizontal="right"/>
    </xf>
    <xf numFmtId="0" fontId="30" fillId="0" borderId="0" xfId="0" applyFont="1" applyBorder="1" applyAlignment="1">
      <alignment horizontal="right"/>
    </xf>
    <xf numFmtId="0" fontId="30" fillId="0" borderId="7" xfId="0" applyFont="1" applyBorder="1"/>
    <xf numFmtId="9" fontId="30" fillId="0" borderId="5" xfId="2" applyFont="1" applyBorder="1" applyAlignment="1">
      <alignment horizontal="right"/>
    </xf>
    <xf numFmtId="0" fontId="15" fillId="0" borderId="0" xfId="0" applyFont="1" applyAlignment="1">
      <alignment horizontal="left"/>
    </xf>
    <xf numFmtId="0" fontId="0" fillId="0" borderId="0" xfId="0" applyBorder="1" applyAlignment="1">
      <alignment horizontal="right"/>
    </xf>
    <xf numFmtId="0" fontId="14" fillId="0" borderId="0" xfId="0" applyFont="1" applyAlignment="1">
      <alignment horizontal="left"/>
    </xf>
    <xf numFmtId="0" fontId="0" fillId="0" borderId="35" xfId="0" applyBorder="1"/>
    <xf numFmtId="0" fontId="0" fillId="0" borderId="35" xfId="0" applyBorder="1" applyAlignment="1">
      <alignment horizontal="left"/>
    </xf>
    <xf numFmtId="0" fontId="0" fillId="0" borderId="35" xfId="0" applyBorder="1" applyAlignment="1">
      <alignment vertical="center" wrapText="1"/>
    </xf>
    <xf numFmtId="0" fontId="2" fillId="0" borderId="35" xfId="0" applyFont="1" applyBorder="1" applyAlignment="1">
      <alignment vertical="center" wrapText="1"/>
    </xf>
    <xf numFmtId="44" fontId="0" fillId="0" borderId="35" xfId="1" applyFont="1" applyBorder="1"/>
    <xf numFmtId="0" fontId="0" fillId="0" borderId="35" xfId="0" applyBorder="1" applyAlignment="1">
      <alignment horizontal="center" vertical="center" wrapText="1"/>
    </xf>
    <xf numFmtId="0" fontId="12" fillId="0" borderId="14" xfId="0" applyFont="1" applyBorder="1" applyAlignment="1">
      <alignment horizontal="left"/>
    </xf>
    <xf numFmtId="0" fontId="12" fillId="0" borderId="36" xfId="0" applyFont="1" applyBorder="1"/>
    <xf numFmtId="0" fontId="12" fillId="0" borderId="0" xfId="0" quotePrefix="1" applyFont="1" applyAlignment="1"/>
    <xf numFmtId="16" fontId="12" fillId="0" borderId="0" xfId="0" quotePrefix="1" applyNumberFormat="1" applyFont="1" applyAlignment="1">
      <alignment vertical="top" wrapText="1"/>
    </xf>
    <xf numFmtId="16" fontId="12" fillId="0" borderId="0" xfId="0" quotePrefix="1" applyNumberFormat="1" applyFont="1" applyAlignment="1">
      <alignment vertical="top"/>
    </xf>
    <xf numFmtId="0" fontId="0" fillId="0" borderId="0" xfId="0" applyBorder="1" applyAlignment="1">
      <alignment horizontal="right"/>
    </xf>
    <xf numFmtId="0" fontId="0" fillId="0" borderId="0" xfId="0" applyFill="1" applyBorder="1" applyAlignment="1">
      <alignment horizontal="right" vertical="center"/>
    </xf>
    <xf numFmtId="0" fontId="27" fillId="0" borderId="0" xfId="0" applyFont="1" applyAlignment="1">
      <alignment horizontal="left"/>
    </xf>
    <xf numFmtId="0" fontId="0" fillId="0" borderId="7" xfId="0" applyBorder="1" applyAlignment="1">
      <alignment horizontal="right"/>
    </xf>
    <xf numFmtId="0" fontId="0" fillId="0" borderId="0" xfId="0" applyBorder="1" applyAlignment="1">
      <alignment horizontal="center"/>
    </xf>
    <xf numFmtId="0" fontId="13" fillId="0" borderId="0" xfId="0" applyFont="1" applyBorder="1" applyAlignment="1">
      <alignment horizontal="center" vertical="center" wrapText="1"/>
    </xf>
    <xf numFmtId="0" fontId="12" fillId="0" borderId="0" xfId="0" quotePrefix="1" applyFont="1"/>
    <xf numFmtId="0" fontId="32" fillId="0" borderId="0" xfId="0" applyFont="1" applyBorder="1" applyAlignment="1">
      <alignment horizontal="center"/>
    </xf>
    <xf numFmtId="0" fontId="27" fillId="0" borderId="14" xfId="0" applyFont="1" applyBorder="1" applyAlignment="1">
      <alignment horizontal="left"/>
    </xf>
    <xf numFmtId="0" fontId="13" fillId="0" borderId="14" xfId="0" applyFont="1" applyBorder="1" applyAlignment="1">
      <alignment horizontal="center" vertical="center" wrapText="1"/>
    </xf>
    <xf numFmtId="0" fontId="12" fillId="0" borderId="0" xfId="0" applyFont="1" applyBorder="1" applyAlignment="1">
      <alignment horizontal="left" vertical="top"/>
    </xf>
    <xf numFmtId="0" fontId="15" fillId="0" borderId="0" xfId="0" applyFont="1" applyBorder="1" applyAlignment="1">
      <alignment horizontal="left" vertical="top"/>
    </xf>
    <xf numFmtId="0" fontId="33" fillId="0" borderId="0" xfId="0" applyFont="1" applyBorder="1" applyAlignment="1">
      <alignment horizontal="center"/>
    </xf>
    <xf numFmtId="0" fontId="12" fillId="0" borderId="14" xfId="0" applyFont="1" applyBorder="1" applyAlignment="1">
      <alignment horizontal="left" vertical="top"/>
    </xf>
    <xf numFmtId="0" fontId="15" fillId="0" borderId="0" xfId="0" applyFont="1" applyAlignment="1">
      <alignment horizontal="left" vertical="top"/>
    </xf>
    <xf numFmtId="0" fontId="0" fillId="0" borderId="0" xfId="0" applyFont="1" applyFill="1" applyAlignment="1">
      <alignment horizontal="left" vertical="top"/>
    </xf>
    <xf numFmtId="0" fontId="0" fillId="0" borderId="0" xfId="0" applyFont="1" applyAlignment="1">
      <alignment horizontal="left" vertical="top"/>
    </xf>
    <xf numFmtId="0" fontId="0" fillId="0" borderId="0" xfId="0" applyBorder="1" applyAlignment="1">
      <alignment horizontal="right"/>
    </xf>
    <xf numFmtId="0" fontId="30" fillId="0" borderId="0" xfId="0" applyFont="1" applyBorder="1" applyAlignment="1">
      <alignment horizontal="right"/>
    </xf>
    <xf numFmtId="0" fontId="27" fillId="0" borderId="24" xfId="0" applyFont="1" applyBorder="1" applyAlignment="1">
      <alignment horizontal="left"/>
    </xf>
    <xf numFmtId="44" fontId="12" fillId="0" borderId="14" xfId="1" applyFont="1" applyBorder="1"/>
    <xf numFmtId="0" fontId="12" fillId="0" borderId="0" xfId="0" applyFont="1" applyBorder="1" applyAlignment="1">
      <alignment vertical="top" wrapText="1"/>
    </xf>
    <xf numFmtId="0" fontId="12" fillId="0" borderId="0" xfId="0" applyFont="1" applyBorder="1" applyAlignment="1">
      <alignment vertical="top"/>
    </xf>
    <xf numFmtId="0" fontId="12" fillId="0" borderId="37" xfId="0" applyFont="1" applyBorder="1"/>
    <xf numFmtId="44" fontId="15" fillId="0" borderId="0" xfId="1" applyFont="1" applyBorder="1"/>
    <xf numFmtId="0" fontId="15" fillId="0" borderId="14" xfId="0" applyFont="1" applyBorder="1" applyAlignment="1">
      <alignment horizontal="right"/>
    </xf>
    <xf numFmtId="0" fontId="15" fillId="0" borderId="0" xfId="0" applyFont="1" applyBorder="1" applyAlignment="1"/>
    <xf numFmtId="44" fontId="0" fillId="0" borderId="7" xfId="0" applyNumberFormat="1" applyBorder="1" applyAlignment="1">
      <alignment horizontal="right"/>
    </xf>
    <xf numFmtId="0" fontId="30" fillId="0" borderId="0" xfId="0" applyFont="1" applyBorder="1" applyAlignment="1">
      <alignment horizontal="right"/>
    </xf>
    <xf numFmtId="0" fontId="27" fillId="0" borderId="0" xfId="0" applyFont="1" applyAlignment="1">
      <alignment horizontal="left"/>
    </xf>
    <xf numFmtId="164" fontId="30" fillId="0" borderId="5" xfId="1" applyNumberFormat="1" applyFont="1" applyBorder="1" applyAlignment="1">
      <alignment horizontal="right"/>
    </xf>
    <xf numFmtId="164" fontId="30" fillId="0" borderId="0" xfId="1" applyNumberFormat="1" applyFont="1" applyBorder="1"/>
    <xf numFmtId="0" fontId="30" fillId="0" borderId="5" xfId="0" applyFont="1" applyBorder="1" applyAlignment="1">
      <alignment horizontal="right"/>
    </xf>
    <xf numFmtId="9" fontId="30" fillId="0" borderId="0" xfId="2" applyFont="1" applyBorder="1" applyAlignment="1">
      <alignment horizontal="right"/>
    </xf>
    <xf numFmtId="0" fontId="0" fillId="0" borderId="0" xfId="0" applyAlignment="1">
      <alignment horizontal="left"/>
    </xf>
    <xf numFmtId="0" fontId="0" fillId="0" borderId="0" xfId="0" applyAlignment="1">
      <alignment horizontal="right"/>
    </xf>
    <xf numFmtId="0" fontId="12" fillId="0" borderId="0" xfId="0" applyFont="1" applyBorder="1" applyAlignment="1">
      <alignment horizontal="left" vertical="top"/>
    </xf>
    <xf numFmtId="0" fontId="15" fillId="0" borderId="0" xfId="0" applyFont="1" applyAlignment="1">
      <alignment horizontal="left"/>
    </xf>
    <xf numFmtId="0" fontId="12" fillId="0" borderId="0" xfId="0" applyFont="1" applyAlignment="1">
      <alignment horizontal="left"/>
    </xf>
    <xf numFmtId="0" fontId="12" fillId="0" borderId="0" xfId="0" applyFont="1" applyAlignment="1">
      <alignment horizontal="center"/>
    </xf>
    <xf numFmtId="0" fontId="27" fillId="0" borderId="0" xfId="0" applyFont="1" applyAlignment="1">
      <alignment horizontal="left"/>
    </xf>
    <xf numFmtId="0" fontId="21" fillId="0" borderId="15" xfId="0" applyFont="1" applyBorder="1" applyAlignment="1">
      <alignment horizontal="left"/>
    </xf>
    <xf numFmtId="0" fontId="12" fillId="0" borderId="15" xfId="0" applyFont="1" applyBorder="1" applyAlignment="1">
      <alignment horizontal="left"/>
    </xf>
    <xf numFmtId="0" fontId="24" fillId="0" borderId="15" xfId="0" applyFont="1" applyBorder="1"/>
    <xf numFmtId="0" fontId="12" fillId="0" borderId="9" xfId="0" applyFont="1" applyBorder="1" applyAlignment="1">
      <alignment horizontal="left" vertical="top"/>
    </xf>
    <xf numFmtId="0" fontId="12" fillId="0" borderId="0" xfId="0" applyFont="1" applyBorder="1" applyAlignment="1">
      <alignment horizontal="left" vertical="top"/>
    </xf>
    <xf numFmtId="0" fontId="15" fillId="0" borderId="0" xfId="0" applyFont="1" applyAlignment="1">
      <alignment horizontal="right"/>
    </xf>
    <xf numFmtId="0" fontId="15" fillId="0" borderId="0" xfId="0" quotePrefix="1" applyFont="1" applyAlignment="1">
      <alignment horizontal="left" vertical="top" wrapText="1"/>
    </xf>
    <xf numFmtId="0" fontId="15" fillId="0" borderId="0" xfId="0" applyFont="1" applyBorder="1" applyAlignment="1">
      <alignment horizontal="left" vertical="center" wrapText="1"/>
    </xf>
    <xf numFmtId="0" fontId="30" fillId="0" borderId="0" xfId="0" applyFont="1" applyBorder="1" applyAlignment="1">
      <alignment horizontal="right"/>
    </xf>
    <xf numFmtId="0" fontId="0" fillId="0" borderId="0" xfId="0" applyBorder="1" applyAlignment="1">
      <alignment horizontal="right"/>
    </xf>
    <xf numFmtId="0" fontId="13" fillId="0" borderId="0" xfId="0" applyFont="1" applyBorder="1" applyAlignment="1">
      <alignment horizontal="center" vertical="center" wrapText="1"/>
    </xf>
    <xf numFmtId="0" fontId="27" fillId="0" borderId="0" xfId="0" applyFont="1" applyAlignment="1">
      <alignment horizontal="left"/>
    </xf>
    <xf numFmtId="0" fontId="0" fillId="0" borderId="0" xfId="0" applyBorder="1" applyAlignment="1">
      <alignment horizontal="center"/>
    </xf>
    <xf numFmtId="0" fontId="15" fillId="0" borderId="0" xfId="0" applyFont="1" applyBorder="1" applyAlignment="1">
      <alignment horizontal="left" vertical="top"/>
    </xf>
    <xf numFmtId="0" fontId="15" fillId="0" borderId="0" xfId="0" applyFont="1" applyAlignment="1">
      <alignment horizontal="left" vertical="top" wrapText="1"/>
    </xf>
    <xf numFmtId="0" fontId="36" fillId="0" borderId="0" xfId="0" applyFont="1" applyAlignment="1">
      <alignment horizontal="left" wrapText="1"/>
    </xf>
    <xf numFmtId="0" fontId="14" fillId="0" borderId="0" xfId="0" applyFont="1" applyAlignment="1">
      <alignment horizontal="left"/>
    </xf>
    <xf numFmtId="0" fontId="15" fillId="0" borderId="0" xfId="0" applyFont="1" applyBorder="1" applyAlignment="1">
      <alignment horizontal="left" vertical="center" wrapText="1"/>
    </xf>
    <xf numFmtId="0" fontId="0" fillId="5" borderId="0" xfId="0" applyFill="1"/>
    <xf numFmtId="0" fontId="0" fillId="5" borderId="9" xfId="0" applyFill="1" applyBorder="1"/>
    <xf numFmtId="0" fontId="12" fillId="5" borderId="9" xfId="0" applyFont="1" applyFill="1" applyBorder="1"/>
    <xf numFmtId="0" fontId="14" fillId="0" borderId="9" xfId="0" applyFont="1" applyBorder="1" applyAlignment="1">
      <alignment horizontal="left"/>
    </xf>
    <xf numFmtId="0" fontId="0" fillId="0" borderId="0" xfId="0" applyFont="1"/>
    <xf numFmtId="0" fontId="0" fillId="0" borderId="0" xfId="0" applyFont="1" applyFill="1"/>
    <xf numFmtId="0" fontId="39" fillId="0" borderId="0" xfId="0" applyFont="1" applyFill="1" applyAlignment="1">
      <alignment vertical="center"/>
    </xf>
    <xf numFmtId="0" fontId="9" fillId="0" borderId="0" xfId="0" applyFont="1" applyFill="1" applyAlignment="1">
      <alignment vertical="center"/>
    </xf>
    <xf numFmtId="0" fontId="40" fillId="0" borderId="0" xfId="0" applyFont="1" applyFill="1" applyAlignment="1">
      <alignment vertical="center"/>
    </xf>
    <xf numFmtId="0" fontId="8" fillId="0" borderId="0" xfId="0" applyFont="1" applyFill="1"/>
    <xf numFmtId="0" fontId="8" fillId="0" borderId="0" xfId="0" applyFont="1" applyFill="1" applyAlignment="1">
      <alignment vertical="center"/>
    </xf>
    <xf numFmtId="0" fontId="41" fillId="0" borderId="0" xfId="0" applyFont="1" applyFill="1" applyAlignment="1">
      <alignment vertical="center"/>
    </xf>
    <xf numFmtId="0" fontId="42" fillId="0" borderId="0" xfId="0" applyFont="1" applyFill="1" applyAlignment="1">
      <alignment horizontal="left" vertical="center" indent="5"/>
    </xf>
    <xf numFmtId="0" fontId="15" fillId="0" borderId="0" xfId="0" applyFont="1" applyAlignment="1">
      <alignment vertical="top" wrapText="1"/>
    </xf>
    <xf numFmtId="0" fontId="9" fillId="0" borderId="0" xfId="0" applyFont="1" applyAlignment="1">
      <alignment vertical="center"/>
    </xf>
    <xf numFmtId="0" fontId="41" fillId="2" borderId="0" xfId="0" applyFont="1" applyFill="1" applyAlignment="1">
      <alignment vertical="center"/>
    </xf>
    <xf numFmtId="0" fontId="42" fillId="0" borderId="0" xfId="0" applyFont="1" applyAlignment="1">
      <alignment vertical="center"/>
    </xf>
    <xf numFmtId="0" fontId="10" fillId="0" borderId="0" xfId="3" applyFill="1" applyAlignment="1">
      <alignment vertical="center"/>
    </xf>
    <xf numFmtId="0" fontId="10" fillId="0" borderId="0" xfId="3" applyFill="1"/>
    <xf numFmtId="0" fontId="34" fillId="0" borderId="0" xfId="0" applyFont="1" applyFill="1" applyAlignment="1">
      <alignment vertical="center"/>
    </xf>
    <xf numFmtId="0" fontId="47" fillId="0" borderId="0" xfId="0" applyFont="1" applyFill="1" applyAlignment="1">
      <alignment horizontal="left" vertical="center" indent="5"/>
    </xf>
    <xf numFmtId="0" fontId="47" fillId="0" borderId="0" xfId="0" applyFont="1" applyFill="1"/>
    <xf numFmtId="0" fontId="41" fillId="0" borderId="0" xfId="0" applyFont="1" applyFill="1" applyAlignment="1">
      <alignment horizontal="left" vertical="center" indent="5"/>
    </xf>
    <xf numFmtId="0" fontId="12" fillId="0" borderId="0" xfId="0" applyFont="1" applyAlignment="1">
      <alignment horizontal="left"/>
    </xf>
    <xf numFmtId="0" fontId="31" fillId="0" borderId="0" xfId="0" applyFont="1" applyFill="1" applyAlignment="1">
      <alignment horizontal="left" vertical="top" wrapText="1"/>
    </xf>
    <xf numFmtId="0" fontId="0" fillId="0" borderId="0" xfId="0" applyBorder="1" applyAlignment="1">
      <alignment horizontal="right"/>
    </xf>
    <xf numFmtId="0" fontId="0" fillId="0" borderId="0" xfId="0" applyFill="1" applyBorder="1" applyAlignment="1">
      <alignment horizontal="right"/>
    </xf>
    <xf numFmtId="0" fontId="12" fillId="0" borderId="0" xfId="0" applyFont="1" applyBorder="1" applyAlignment="1">
      <alignment horizontal="left" vertical="top"/>
    </xf>
    <xf numFmtId="0" fontId="0" fillId="0" borderId="0" xfId="0" applyBorder="1" applyAlignment="1">
      <alignment horizontal="right"/>
    </xf>
    <xf numFmtId="0" fontId="13" fillId="0" borderId="0" xfId="0" applyFont="1" applyBorder="1" applyAlignment="1">
      <alignment horizontal="center" vertical="center" wrapText="1"/>
    </xf>
    <xf numFmtId="0" fontId="30" fillId="0" borderId="0" xfId="0" applyFont="1" applyBorder="1" applyAlignment="1">
      <alignment horizontal="right"/>
    </xf>
    <xf numFmtId="0" fontId="27" fillId="0" borderId="0" xfId="0" applyFont="1" applyAlignment="1">
      <alignment horizontal="left"/>
    </xf>
    <xf numFmtId="0" fontId="0" fillId="0" borderId="0" xfId="0" applyFill="1" applyBorder="1" applyAlignment="1">
      <alignment horizontal="right"/>
    </xf>
    <xf numFmtId="0" fontId="0" fillId="0" borderId="0" xfId="0" applyBorder="1" applyAlignment="1">
      <alignment horizontal="center"/>
    </xf>
    <xf numFmtId="0" fontId="15" fillId="0" borderId="0" xfId="0" applyFont="1" applyAlignment="1">
      <alignment horizontal="left" vertical="top" wrapText="1"/>
    </xf>
    <xf numFmtId="0" fontId="11" fillId="0" borderId="0" xfId="0" applyFont="1" applyFill="1" applyAlignment="1">
      <alignment horizontal="center"/>
    </xf>
    <xf numFmtId="0" fontId="14" fillId="0" borderId="0" xfId="0" applyFont="1" applyAlignment="1">
      <alignment horizontal="left"/>
    </xf>
    <xf numFmtId="0" fontId="37" fillId="0" borderId="0" xfId="0" applyFont="1"/>
    <xf numFmtId="0" fontId="53" fillId="0" borderId="0" xfId="0" applyFont="1"/>
    <xf numFmtId="0" fontId="54" fillId="0" borderId="0" xfId="0" applyFont="1" applyFill="1" applyAlignment="1">
      <alignment horizontal="left" vertical="center" indent="5"/>
    </xf>
    <xf numFmtId="0" fontId="47" fillId="0" borderId="0" xfId="0" applyFont="1" applyFill="1" applyAlignment="1">
      <alignment horizontal="left"/>
    </xf>
    <xf numFmtId="0" fontId="53" fillId="0" borderId="0" xfId="0" applyFont="1" applyFill="1" applyAlignment="1">
      <alignment wrapText="1"/>
    </xf>
    <xf numFmtId="0" fontId="41" fillId="0" borderId="0" xfId="0" applyFont="1" applyFill="1" applyAlignment="1">
      <alignment horizontal="left" vertical="top" wrapText="1" indent="5"/>
    </xf>
    <xf numFmtId="0" fontId="13" fillId="0" borderId="0" xfId="0" applyFont="1" applyBorder="1" applyAlignment="1">
      <alignment horizontal="center" vertical="center" wrapText="1"/>
    </xf>
    <xf numFmtId="0" fontId="27" fillId="0" borderId="0" xfId="0" applyFont="1" applyAlignment="1">
      <alignment horizontal="left"/>
    </xf>
    <xf numFmtId="0" fontId="13" fillId="0" borderId="0" xfId="0" applyFont="1" applyBorder="1" applyAlignment="1">
      <alignment horizontal="center" vertical="center" wrapText="1"/>
    </xf>
    <xf numFmtId="0" fontId="27" fillId="0" borderId="0" xfId="0" applyFont="1" applyAlignment="1">
      <alignment horizontal="left"/>
    </xf>
    <xf numFmtId="0" fontId="30" fillId="0" borderId="0" xfId="0" applyFont="1" applyFill="1" applyBorder="1" applyAlignment="1">
      <alignment horizontal="right" wrapText="1"/>
    </xf>
    <xf numFmtId="0" fontId="12" fillId="0" borderId="0" xfId="0" applyFont="1" applyBorder="1" applyAlignment="1">
      <alignment horizontal="left" vertical="top"/>
    </xf>
    <xf numFmtId="0" fontId="0" fillId="0" borderId="0" xfId="0" applyBorder="1" applyAlignment="1">
      <alignment horizontal="right"/>
    </xf>
    <xf numFmtId="0" fontId="13" fillId="0" borderId="0" xfId="0" applyFont="1" applyBorder="1" applyAlignment="1">
      <alignment horizontal="center" vertical="center" wrapText="1"/>
    </xf>
    <xf numFmtId="0" fontId="30" fillId="0" borderId="0" xfId="0" applyFont="1" applyBorder="1" applyAlignment="1">
      <alignment horizontal="right"/>
    </xf>
    <xf numFmtId="0" fontId="30" fillId="0" borderId="0" xfId="0" applyFont="1" applyFill="1" applyBorder="1" applyAlignment="1">
      <alignment horizontal="right" wrapText="1"/>
    </xf>
    <xf numFmtId="0" fontId="0" fillId="0" borderId="0" xfId="0" applyFill="1" applyBorder="1" applyAlignment="1">
      <alignment horizontal="right"/>
    </xf>
    <xf numFmtId="0" fontId="27" fillId="0" borderId="0" xfId="0" applyFont="1" applyAlignment="1">
      <alignment horizontal="left"/>
    </xf>
    <xf numFmtId="0" fontId="0" fillId="0" borderId="0" xfId="0" applyBorder="1" applyAlignment="1">
      <alignment horizontal="center"/>
    </xf>
    <xf numFmtId="0" fontId="0" fillId="0" borderId="0" xfId="0" applyAlignment="1">
      <alignment horizontal="left" vertical="top" wrapText="1"/>
    </xf>
    <xf numFmtId="0" fontId="0" fillId="0" borderId="18" xfId="0" applyBorder="1"/>
    <xf numFmtId="0" fontId="35" fillId="0" borderId="0" xfId="0" applyFont="1" applyAlignment="1">
      <alignment vertical="center" wrapText="1"/>
    </xf>
    <xf numFmtId="0" fontId="55" fillId="0" borderId="0" xfId="0" applyFont="1" applyAlignment="1">
      <alignment horizontal="left" vertical="center" wrapText="1" indent="1"/>
    </xf>
    <xf numFmtId="0" fontId="0" fillId="0" borderId="0" xfId="0" applyAlignment="1">
      <alignment vertical="top" wrapText="1"/>
    </xf>
    <xf numFmtId="0" fontId="57" fillId="0" borderId="0" xfId="0" applyFont="1"/>
    <xf numFmtId="0" fontId="57" fillId="0" borderId="0" xfId="0" applyFont="1" applyAlignment="1">
      <alignment horizontal="right"/>
    </xf>
    <xf numFmtId="0" fontId="15" fillId="0" borderId="0" xfId="0" quotePrefix="1" applyFont="1"/>
    <xf numFmtId="0" fontId="58" fillId="0" borderId="0" xfId="0" applyFont="1"/>
    <xf numFmtId="0" fontId="59" fillId="0" borderId="0" xfId="0" applyFont="1"/>
    <xf numFmtId="0" fontId="11" fillId="0" borderId="0" xfId="0" applyFont="1" applyFill="1" applyBorder="1" applyAlignment="1">
      <alignment vertical="top" wrapText="1"/>
    </xf>
    <xf numFmtId="0" fontId="12" fillId="0" borderId="0" xfId="0" applyFont="1" applyBorder="1" applyAlignment="1">
      <alignment horizontal="left" vertical="top"/>
    </xf>
    <xf numFmtId="0" fontId="12" fillId="0" borderId="0" xfId="0" applyFont="1" applyAlignment="1">
      <alignment horizontal="left"/>
    </xf>
    <xf numFmtId="0" fontId="15" fillId="0" borderId="0" xfId="0" applyFont="1" applyAlignment="1">
      <alignment horizontal="left"/>
    </xf>
    <xf numFmtId="0" fontId="0" fillId="0" borderId="7" xfId="0" applyBorder="1" applyAlignment="1">
      <alignment horizontal="right"/>
    </xf>
    <xf numFmtId="0" fontId="0" fillId="0" borderId="0" xfId="0" applyBorder="1" applyAlignment="1">
      <alignment horizontal="right"/>
    </xf>
    <xf numFmtId="0" fontId="30" fillId="0" borderId="0" xfId="0" applyFont="1" applyBorder="1" applyAlignment="1">
      <alignment horizontal="right"/>
    </xf>
    <xf numFmtId="0" fontId="0" fillId="0" borderId="0" xfId="0" applyFill="1" applyBorder="1" applyAlignment="1">
      <alignment horizontal="right" vertical="center"/>
    </xf>
    <xf numFmtId="0" fontId="27" fillId="0" borderId="0" xfId="0" applyFont="1" applyAlignment="1">
      <alignment horizontal="left"/>
    </xf>
    <xf numFmtId="0" fontId="15" fillId="0" borderId="0" xfId="0" applyFont="1" applyAlignment="1">
      <alignment vertical="top" wrapText="1"/>
    </xf>
    <xf numFmtId="0" fontId="15" fillId="0" borderId="0" xfId="0" applyFont="1" applyAlignment="1">
      <alignment horizontal="left" vertical="top" wrapText="1"/>
    </xf>
    <xf numFmtId="0" fontId="15" fillId="0" borderId="0" xfId="0" applyFont="1" applyAlignment="1">
      <alignment horizontal="left"/>
    </xf>
    <xf numFmtId="0" fontId="12" fillId="0" borderId="0" xfId="0" applyFont="1" applyBorder="1" applyAlignment="1">
      <alignment horizontal="left" vertical="top"/>
    </xf>
    <xf numFmtId="0" fontId="0" fillId="0" borderId="0" xfId="0" applyFill="1" applyBorder="1" applyAlignment="1">
      <alignment horizontal="right" vertical="center"/>
    </xf>
    <xf numFmtId="0" fontId="0" fillId="0" borderId="0" xfId="0" applyBorder="1" applyAlignment="1">
      <alignment horizontal="right"/>
    </xf>
    <xf numFmtId="0" fontId="27" fillId="0" borderId="0" xfId="0" applyFont="1" applyAlignment="1">
      <alignment horizontal="left"/>
    </xf>
    <xf numFmtId="0" fontId="30" fillId="0" borderId="7" xfId="0" applyFont="1" applyBorder="1" applyAlignment="1">
      <alignment horizontal="right"/>
    </xf>
    <xf numFmtId="0" fontId="30" fillId="0" borderId="0" xfId="0" applyFont="1" applyBorder="1" applyAlignment="1">
      <alignment horizontal="right"/>
    </xf>
    <xf numFmtId="0" fontId="0" fillId="0" borderId="0" xfId="0" applyFill="1" applyBorder="1" applyAlignment="1">
      <alignment horizontal="right"/>
    </xf>
    <xf numFmtId="0" fontId="30" fillId="0" borderId="0" xfId="0" applyFont="1" applyFill="1" applyBorder="1" applyAlignment="1">
      <alignment horizontal="right" wrapText="1"/>
    </xf>
    <xf numFmtId="0" fontId="13" fillId="0" borderId="0" xfId="0" applyFont="1" applyBorder="1" applyAlignment="1">
      <alignment horizontal="center" vertical="center" wrapText="1"/>
    </xf>
    <xf numFmtId="0" fontId="0" fillId="0" borderId="0" xfId="0" applyBorder="1" applyAlignment="1">
      <alignment horizontal="center"/>
    </xf>
    <xf numFmtId="15" fontId="0" fillId="0" borderId="0" xfId="0" quotePrefix="1" applyNumberFormat="1"/>
    <xf numFmtId="0" fontId="62" fillId="0" borderId="0" xfId="0" applyFont="1" applyFill="1" applyAlignment="1">
      <alignment horizontal="left" vertical="center" indent="5"/>
    </xf>
    <xf numFmtId="43" fontId="0" fillId="6" borderId="0" xfId="4" applyFont="1" applyFill="1"/>
    <xf numFmtId="43" fontId="0" fillId="0" borderId="0" xfId="4" applyFont="1"/>
    <xf numFmtId="43" fontId="1" fillId="6" borderId="0" xfId="4" applyFont="1" applyFill="1"/>
    <xf numFmtId="0" fontId="0" fillId="7" borderId="0" xfId="0" applyFill="1"/>
    <xf numFmtId="0" fontId="0" fillId="0" borderId="12" xfId="0" applyBorder="1"/>
    <xf numFmtId="0" fontId="63" fillId="0" borderId="0" xfId="0" applyFont="1"/>
    <xf numFmtId="1" fontId="12" fillId="5" borderId="42" xfId="0" applyNumberFormat="1" applyFont="1" applyFill="1" applyBorder="1" applyAlignment="1" applyProtection="1">
      <alignment vertical="top" wrapText="1"/>
      <protection locked="0"/>
    </xf>
    <xf numFmtId="0" fontId="0" fillId="0" borderId="0" xfId="0" applyProtection="1">
      <protection locked="0"/>
    </xf>
    <xf numFmtId="0" fontId="27" fillId="0" borderId="0" xfId="0" applyFont="1" applyBorder="1" applyAlignment="1">
      <alignment horizontal="left"/>
    </xf>
    <xf numFmtId="0" fontId="15" fillId="0" borderId="0" xfId="0" applyFont="1" applyAlignment="1">
      <alignment horizontal="left"/>
    </xf>
    <xf numFmtId="0" fontId="12" fillId="0" borderId="0" xfId="0" applyFont="1" applyBorder="1" applyAlignment="1">
      <alignment horizontal="left" vertical="top"/>
    </xf>
    <xf numFmtId="0" fontId="30" fillId="0" borderId="0" xfId="0" applyFont="1" applyFill="1" applyBorder="1" applyAlignment="1">
      <alignment horizontal="right" wrapText="1"/>
    </xf>
    <xf numFmtId="0" fontId="0" fillId="0" borderId="0" xfId="0" applyFill="1" applyBorder="1" applyAlignment="1">
      <alignment horizontal="right" vertical="center"/>
    </xf>
    <xf numFmtId="0" fontId="30" fillId="0" borderId="0" xfId="0" applyFont="1" applyBorder="1" applyAlignment="1">
      <alignment horizontal="right"/>
    </xf>
    <xf numFmtId="0" fontId="0" fillId="0" borderId="0" xfId="0" applyBorder="1" applyAlignment="1">
      <alignment horizontal="right"/>
    </xf>
    <xf numFmtId="0" fontId="27" fillId="0" borderId="0" xfId="0" applyFont="1" applyAlignment="1">
      <alignment horizontal="left"/>
    </xf>
    <xf numFmtId="0" fontId="30" fillId="0" borderId="7" xfId="0" applyFont="1" applyBorder="1" applyAlignment="1">
      <alignment horizontal="right"/>
    </xf>
    <xf numFmtId="0" fontId="0" fillId="0" borderId="0" xfId="0" applyFill="1" applyBorder="1" applyAlignment="1">
      <alignment horizontal="right"/>
    </xf>
    <xf numFmtId="0" fontId="0" fillId="0" borderId="0" xfId="0" applyBorder="1" applyAlignment="1">
      <alignment horizontal="center"/>
    </xf>
    <xf numFmtId="17" fontId="0" fillId="0" borderId="0" xfId="0" quotePrefix="1" applyNumberFormat="1"/>
    <xf numFmtId="0" fontId="64" fillId="0" borderId="0" xfId="0" applyFont="1"/>
    <xf numFmtId="0" fontId="12" fillId="0" borderId="0" xfId="0" applyFont="1" applyBorder="1" applyAlignment="1">
      <alignment horizontal="left" vertical="top"/>
    </xf>
    <xf numFmtId="0" fontId="27" fillId="0" borderId="0" xfId="0" applyFont="1" applyAlignment="1">
      <alignment horizontal="left"/>
    </xf>
    <xf numFmtId="0" fontId="0" fillId="0" borderId="0" xfId="0" applyBorder="1" applyAlignment="1">
      <alignment horizontal="right"/>
    </xf>
    <xf numFmtId="0" fontId="30" fillId="0" borderId="7" xfId="0" applyFont="1" applyBorder="1" applyAlignment="1">
      <alignment horizontal="right"/>
    </xf>
    <xf numFmtId="0" fontId="30" fillId="0" borderId="0" xfId="0" applyFont="1" applyBorder="1" applyAlignment="1">
      <alignment horizontal="right"/>
    </xf>
    <xf numFmtId="0" fontId="0" fillId="0" borderId="0" xfId="0" applyFill="1" applyBorder="1" applyAlignment="1">
      <alignment horizontal="right" vertical="center"/>
    </xf>
    <xf numFmtId="0" fontId="30" fillId="0" borderId="0" xfId="0" applyFont="1" applyFill="1" applyBorder="1" applyAlignment="1">
      <alignment horizontal="right" wrapText="1"/>
    </xf>
    <xf numFmtId="0" fontId="0" fillId="0" borderId="0" xfId="0" applyFill="1" applyBorder="1" applyAlignment="1">
      <alignment horizontal="right"/>
    </xf>
    <xf numFmtId="0" fontId="0" fillId="0" borderId="0" xfId="0" applyBorder="1" applyAlignment="1">
      <alignment horizontal="center"/>
    </xf>
    <xf numFmtId="0" fontId="12" fillId="0" borderId="0" xfId="0" applyFont="1" applyBorder="1" applyAlignment="1">
      <alignment horizontal="left" vertical="top"/>
    </xf>
    <xf numFmtId="0" fontId="0" fillId="0" borderId="0" xfId="0" applyFill="1" applyBorder="1" applyAlignment="1">
      <alignment horizontal="right" vertical="center"/>
    </xf>
    <xf numFmtId="0" fontId="27" fillId="0" borderId="0" xfId="0" applyFont="1" applyAlignment="1">
      <alignment horizontal="left"/>
    </xf>
    <xf numFmtId="0" fontId="0" fillId="0" borderId="0" xfId="0" applyBorder="1" applyAlignment="1">
      <alignment horizontal="right"/>
    </xf>
    <xf numFmtId="0" fontId="30" fillId="0" borderId="0" xfId="0" applyFont="1" applyBorder="1" applyAlignment="1">
      <alignment horizontal="right"/>
    </xf>
    <xf numFmtId="0" fontId="30" fillId="0" borderId="7" xfId="0" applyFont="1" applyBorder="1" applyAlignment="1">
      <alignment horizontal="right"/>
    </xf>
    <xf numFmtId="0" fontId="30" fillId="0" borderId="0" xfId="0" applyFont="1" applyFill="1" applyBorder="1" applyAlignment="1">
      <alignment horizontal="right" wrapText="1"/>
    </xf>
    <xf numFmtId="0" fontId="0" fillId="0" borderId="0" xfId="0" applyFill="1" applyBorder="1" applyAlignment="1">
      <alignment horizontal="right"/>
    </xf>
    <xf numFmtId="0" fontId="0" fillId="0" borderId="0" xfId="0" applyBorder="1" applyAlignment="1">
      <alignment horizontal="center"/>
    </xf>
    <xf numFmtId="0" fontId="0" fillId="0" borderId="0" xfId="0" applyBorder="1" applyAlignment="1">
      <alignment horizontal="right"/>
    </xf>
    <xf numFmtId="0" fontId="0" fillId="0" borderId="0" xfId="0" applyFill="1" applyBorder="1" applyAlignment="1">
      <alignment horizontal="right" vertical="center"/>
    </xf>
    <xf numFmtId="0" fontId="27" fillId="0" borderId="0" xfId="0" applyFont="1" applyAlignment="1">
      <alignment horizontal="left"/>
    </xf>
    <xf numFmtId="0" fontId="27" fillId="0" borderId="0" xfId="0" applyFont="1" applyAlignment="1">
      <alignment wrapText="1"/>
    </xf>
    <xf numFmtId="0" fontId="15" fillId="0" borderId="0" xfId="0" applyFont="1" applyBorder="1" applyAlignment="1">
      <alignment vertical="top" wrapText="1"/>
    </xf>
    <xf numFmtId="0" fontId="37" fillId="0" borderId="12" xfId="0" applyFont="1" applyBorder="1" applyAlignment="1">
      <alignment vertical="top" wrapText="1"/>
    </xf>
    <xf numFmtId="0" fontId="37" fillId="0" borderId="0" xfId="0" applyFont="1" applyAlignment="1">
      <alignment vertical="top" wrapText="1"/>
    </xf>
    <xf numFmtId="0" fontId="12" fillId="0" borderId="0" xfId="0" applyFont="1" applyBorder="1" applyAlignment="1">
      <alignment horizontal="left" vertical="top"/>
    </xf>
    <xf numFmtId="0" fontId="27" fillId="0" borderId="0" xfId="0" applyFont="1" applyAlignment="1">
      <alignment horizontal="left"/>
    </xf>
    <xf numFmtId="0" fontId="0" fillId="0" borderId="0" xfId="0" applyBorder="1" applyAlignment="1">
      <alignment horizontal="right"/>
    </xf>
    <xf numFmtId="0" fontId="30" fillId="0" borderId="7" xfId="0" applyFont="1" applyBorder="1" applyAlignment="1">
      <alignment horizontal="right"/>
    </xf>
    <xf numFmtId="0" fontId="30" fillId="0" borderId="0" xfId="0" applyFont="1" applyBorder="1" applyAlignment="1">
      <alignment horizontal="right"/>
    </xf>
    <xf numFmtId="0" fontId="0" fillId="0" borderId="0" xfId="0" applyFill="1" applyBorder="1" applyAlignment="1">
      <alignment horizontal="right" vertical="center"/>
    </xf>
    <xf numFmtId="0" fontId="30" fillId="0" borderId="0" xfId="0" applyFont="1" applyFill="1" applyBorder="1" applyAlignment="1">
      <alignment horizontal="right" wrapText="1"/>
    </xf>
    <xf numFmtId="0" fontId="0" fillId="0" borderId="0" xfId="0" applyFill="1" applyBorder="1" applyAlignment="1">
      <alignment horizontal="right"/>
    </xf>
    <xf numFmtId="0" fontId="0" fillId="0" borderId="0" xfId="0" applyBorder="1" applyAlignment="1">
      <alignment horizontal="center"/>
    </xf>
    <xf numFmtId="0" fontId="12" fillId="0" borderId="0" xfId="0" applyFont="1" applyBorder="1" applyAlignment="1">
      <alignment horizontal="left" vertical="top"/>
    </xf>
    <xf numFmtId="0" fontId="15" fillId="0" borderId="0" xfId="0" applyFont="1" applyAlignment="1">
      <alignment horizontal="left"/>
    </xf>
    <xf numFmtId="0" fontId="0" fillId="0" borderId="0" xfId="0" applyBorder="1" applyAlignment="1">
      <alignment horizontal="right"/>
    </xf>
    <xf numFmtId="0" fontId="30" fillId="0" borderId="0" xfId="0" applyFont="1" applyFill="1" applyBorder="1" applyAlignment="1">
      <alignment horizontal="right" wrapText="1"/>
    </xf>
    <xf numFmtId="0" fontId="0" fillId="0" borderId="0" xfId="0" applyFill="1" applyBorder="1" applyAlignment="1">
      <alignment horizontal="right"/>
    </xf>
    <xf numFmtId="0" fontId="30" fillId="0" borderId="0" xfId="0" applyFont="1" applyBorder="1" applyAlignment="1">
      <alignment horizontal="right"/>
    </xf>
    <xf numFmtId="0" fontId="0" fillId="0" borderId="0" xfId="0" applyFill="1" applyBorder="1" applyAlignment="1">
      <alignment horizontal="right" vertical="center"/>
    </xf>
    <xf numFmtId="0" fontId="27" fillId="0" borderId="0" xfId="0" applyFont="1" applyAlignment="1">
      <alignment horizontal="left"/>
    </xf>
    <xf numFmtId="0" fontId="30" fillId="0" borderId="7" xfId="0" applyFont="1" applyBorder="1" applyAlignment="1">
      <alignment horizontal="right"/>
    </xf>
    <xf numFmtId="0" fontId="0" fillId="0" borderId="0" xfId="0" applyBorder="1" applyAlignment="1">
      <alignment horizontal="center"/>
    </xf>
    <xf numFmtId="0" fontId="14" fillId="0" borderId="0" xfId="0" applyFont="1" applyAlignment="1">
      <alignment vertical="top"/>
    </xf>
    <xf numFmtId="0" fontId="31" fillId="0" borderId="0" xfId="0" applyFont="1"/>
    <xf numFmtId="0" fontId="12" fillId="0" borderId="0" xfId="0" applyFont="1" applyBorder="1" applyAlignment="1">
      <alignment horizontal="left" vertical="top"/>
    </xf>
    <xf numFmtId="0" fontId="12" fillId="0" borderId="0" xfId="0" applyFont="1" applyAlignment="1">
      <alignment horizontal="left"/>
    </xf>
    <xf numFmtId="0" fontId="14" fillId="0" borderId="0" xfId="0" applyFont="1" applyAlignment="1">
      <alignment horizontal="left"/>
    </xf>
    <xf numFmtId="0" fontId="15" fillId="0" borderId="0" xfId="0" applyFont="1" applyAlignment="1">
      <alignment horizontal="left"/>
    </xf>
    <xf numFmtId="0" fontId="0" fillId="0" borderId="0" xfId="0" applyBorder="1" applyAlignment="1">
      <alignment horizontal="right"/>
    </xf>
    <xf numFmtId="0" fontId="30" fillId="0" borderId="0" xfId="0" applyFont="1" applyFill="1" applyBorder="1" applyAlignment="1">
      <alignment horizontal="right" wrapText="1"/>
    </xf>
    <xf numFmtId="0" fontId="0" fillId="0" borderId="0" xfId="0" applyFill="1" applyBorder="1" applyAlignment="1">
      <alignment horizontal="right"/>
    </xf>
    <xf numFmtId="0" fontId="0" fillId="0" borderId="7" xfId="0" applyBorder="1" applyAlignment="1">
      <alignment horizontal="right"/>
    </xf>
    <xf numFmtId="0" fontId="30" fillId="0" borderId="0" xfId="0" applyFont="1" applyBorder="1" applyAlignment="1">
      <alignment horizontal="right"/>
    </xf>
    <xf numFmtId="0" fontId="0" fillId="0" borderId="0" xfId="0" applyFill="1" applyBorder="1" applyAlignment="1">
      <alignment horizontal="right" vertical="center"/>
    </xf>
    <xf numFmtId="0" fontId="27" fillId="0" borderId="0" xfId="0" applyFont="1" applyAlignment="1">
      <alignment horizontal="left"/>
    </xf>
    <xf numFmtId="0" fontId="30" fillId="0" borderId="7" xfId="0" applyFont="1" applyBorder="1" applyAlignment="1">
      <alignment horizontal="right"/>
    </xf>
    <xf numFmtId="0" fontId="15" fillId="0" borderId="0" xfId="0" applyFont="1" applyAlignment="1">
      <alignment vertical="top" wrapText="1"/>
    </xf>
    <xf numFmtId="0" fontId="0" fillId="0" borderId="0" xfId="0" applyBorder="1" applyAlignment="1">
      <alignment horizontal="center"/>
    </xf>
    <xf numFmtId="0" fontId="15" fillId="0" borderId="0" xfId="0" applyFont="1" applyAlignment="1">
      <alignment horizontal="left" vertical="top" wrapText="1"/>
    </xf>
    <xf numFmtId="0" fontId="0" fillId="0" borderId="0" xfId="0" applyAlignment="1">
      <alignment horizontal="center"/>
    </xf>
    <xf numFmtId="0" fontId="27" fillId="0" borderId="0" xfId="0" applyFont="1" applyAlignment="1">
      <alignment horizontal="left"/>
    </xf>
    <xf numFmtId="0" fontId="15" fillId="0" borderId="0" xfId="0" applyFont="1" applyAlignment="1">
      <alignment horizontal="left" vertical="top" wrapText="1"/>
    </xf>
    <xf numFmtId="0" fontId="19" fillId="0" borderId="0" xfId="0" applyFont="1" applyBorder="1" applyAlignment="1">
      <alignment horizontal="center" vertical="center" wrapText="1"/>
    </xf>
    <xf numFmtId="0" fontId="0" fillId="0" borderId="0" xfId="0" applyAlignment="1">
      <alignment horizontal="center"/>
    </xf>
    <xf numFmtId="0" fontId="12" fillId="0" borderId="37"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15" xfId="0" applyFont="1" applyBorder="1" applyAlignment="1" applyProtection="1">
      <alignment horizontal="left" vertical="top" wrapText="1"/>
      <protection locked="0"/>
    </xf>
    <xf numFmtId="0" fontId="12" fillId="0" borderId="0" xfId="0" applyFont="1" applyAlignment="1">
      <alignment horizontal="left"/>
    </xf>
    <xf numFmtId="0" fontId="15" fillId="0" borderId="0" xfId="0" quotePrefix="1" applyFont="1" applyAlignment="1">
      <alignment horizontal="left"/>
    </xf>
    <xf numFmtId="0" fontId="15" fillId="0" borderId="0" xfId="0" applyFont="1" applyAlignment="1">
      <alignment horizontal="left"/>
    </xf>
    <xf numFmtId="0" fontId="12" fillId="0" borderId="0" xfId="0" applyFont="1" applyAlignment="1">
      <alignment horizontal="right"/>
    </xf>
    <xf numFmtId="0" fontId="11" fillId="3" borderId="14" xfId="0" applyFont="1" applyFill="1" applyBorder="1" applyAlignment="1">
      <alignment horizontal="center"/>
    </xf>
    <xf numFmtId="0" fontId="15" fillId="0" borderId="0" xfId="0" quotePrefix="1" applyFont="1" applyAlignment="1">
      <alignment horizontal="left" wrapText="1"/>
    </xf>
    <xf numFmtId="0" fontId="15" fillId="0" borderId="15" xfId="0" quotePrefix="1" applyFont="1" applyBorder="1" applyAlignment="1">
      <alignment horizontal="left" wrapText="1"/>
    </xf>
    <xf numFmtId="0" fontId="12" fillId="0" borderId="0" xfId="0" applyFont="1" applyAlignment="1">
      <alignment horizontal="center"/>
    </xf>
    <xf numFmtId="0" fontId="12" fillId="0" borderId="37" xfId="0" applyFont="1" applyBorder="1" applyAlignment="1" applyProtection="1">
      <alignment horizontal="center" vertical="top" wrapText="1"/>
      <protection locked="0"/>
    </xf>
    <xf numFmtId="0" fontId="12" fillId="0" borderId="0" xfId="0" applyFont="1" applyBorder="1" applyAlignment="1" applyProtection="1">
      <alignment horizontal="center" vertical="top" wrapText="1"/>
      <protection locked="0"/>
    </xf>
    <xf numFmtId="0" fontId="12" fillId="0" borderId="15" xfId="0" applyFont="1" applyBorder="1" applyAlignment="1" applyProtection="1">
      <alignment horizontal="center" vertical="top" wrapText="1"/>
      <protection locked="0"/>
    </xf>
    <xf numFmtId="0" fontId="15" fillId="0" borderId="0" xfId="0" quotePrefix="1" applyFont="1" applyAlignment="1">
      <alignment horizontal="left" vertical="top" wrapText="1"/>
    </xf>
    <xf numFmtId="0" fontId="15" fillId="0" borderId="15" xfId="0" quotePrefix="1" applyFont="1" applyBorder="1" applyAlignment="1">
      <alignment horizontal="left" vertical="top" wrapText="1"/>
    </xf>
    <xf numFmtId="0" fontId="14" fillId="0" borderId="0" xfId="0" applyFont="1" applyAlignment="1">
      <alignment horizontal="left"/>
    </xf>
    <xf numFmtId="0" fontId="14" fillId="0" borderId="0" xfId="0" applyFont="1" applyAlignment="1">
      <alignment horizontal="left" vertical="top"/>
    </xf>
    <xf numFmtId="16" fontId="12" fillId="0" borderId="0" xfId="0" quotePrefix="1" applyNumberFormat="1" applyFont="1" applyAlignment="1">
      <alignment horizontal="left"/>
    </xf>
    <xf numFmtId="0" fontId="12" fillId="0" borderId="0" xfId="0" quotePrefix="1" applyFont="1" applyAlignment="1">
      <alignment horizontal="left" vertical="top" wrapText="1"/>
    </xf>
    <xf numFmtId="0" fontId="15" fillId="0" borderId="0" xfId="0" applyFont="1" applyBorder="1" applyAlignment="1">
      <alignment horizontal="left" vertical="center" wrapText="1"/>
    </xf>
    <xf numFmtId="0" fontId="14" fillId="0" borderId="0" xfId="0" applyFont="1" applyAlignment="1">
      <alignment horizontal="left" vertical="top" wrapText="1"/>
    </xf>
    <xf numFmtId="44" fontId="12" fillId="0" borderId="37" xfId="0" applyNumberFormat="1" applyFont="1" applyBorder="1" applyAlignment="1" applyProtection="1">
      <alignment horizontal="left" vertical="top" wrapText="1"/>
      <protection locked="0"/>
    </xf>
    <xf numFmtId="14" fontId="12" fillId="0" borderId="37" xfId="0" applyNumberFormat="1" applyFont="1" applyBorder="1" applyAlignment="1" applyProtection="1">
      <alignment horizontal="left" vertical="top" wrapText="1"/>
      <protection locked="0"/>
    </xf>
    <xf numFmtId="14" fontId="12" fillId="0" borderId="0" xfId="0" applyNumberFormat="1" applyFont="1" applyBorder="1" applyAlignment="1" applyProtection="1">
      <alignment horizontal="left" vertical="top" wrapText="1"/>
      <protection locked="0"/>
    </xf>
    <xf numFmtId="14" fontId="12" fillId="0" borderId="15" xfId="0" applyNumberFormat="1" applyFont="1" applyBorder="1" applyAlignment="1" applyProtection="1">
      <alignment horizontal="left" vertical="top" wrapText="1"/>
      <protection locked="0"/>
    </xf>
    <xf numFmtId="0" fontId="11" fillId="3" borderId="0" xfId="0" applyFont="1" applyFill="1" applyAlignment="1">
      <alignment horizontal="center"/>
    </xf>
    <xf numFmtId="0" fontId="15" fillId="0" borderId="0" xfId="0" applyFont="1" applyBorder="1" applyAlignment="1">
      <alignment horizontal="right"/>
    </xf>
    <xf numFmtId="0" fontId="15" fillId="0" borderId="0" xfId="0" applyFont="1" applyAlignment="1">
      <alignment horizontal="right"/>
    </xf>
    <xf numFmtId="0" fontId="31" fillId="0" borderId="0" xfId="0" applyFont="1" applyAlignment="1">
      <alignment horizontal="left" vertical="top"/>
    </xf>
    <xf numFmtId="0" fontId="31" fillId="0" borderId="0" xfId="0" applyFont="1" applyFill="1" applyAlignment="1">
      <alignment horizontal="left" vertical="top" wrapText="1"/>
    </xf>
    <xf numFmtId="0" fontId="11" fillId="3" borderId="0" xfId="3" quotePrefix="1" applyFont="1" applyFill="1" applyAlignment="1">
      <alignment horizontal="left" vertical="center" wrapText="1"/>
    </xf>
    <xf numFmtId="0" fontId="14" fillId="0" borderId="0" xfId="0" applyFont="1" applyAlignment="1">
      <alignment horizontal="left" wrapText="1"/>
    </xf>
    <xf numFmtId="0" fontId="37" fillId="0" borderId="0" xfId="0" applyFont="1" applyAlignment="1">
      <alignment horizontal="left" vertical="top" wrapText="1"/>
    </xf>
    <xf numFmtId="0" fontId="37" fillId="0" borderId="0" xfId="0" applyFont="1" applyAlignment="1">
      <alignment horizontal="right"/>
    </xf>
    <xf numFmtId="0" fontId="31" fillId="0" borderId="0" xfId="0" applyFont="1" applyAlignment="1">
      <alignment horizontal="left" vertical="top" wrapText="1"/>
    </xf>
    <xf numFmtId="0" fontId="14" fillId="0" borderId="37" xfId="0" applyFont="1" applyBorder="1" applyAlignment="1">
      <alignment horizontal="center" vertical="top"/>
    </xf>
    <xf numFmtId="0" fontId="14" fillId="0" borderId="0" xfId="0" applyFont="1" applyBorder="1" applyAlignment="1">
      <alignment horizontal="center" vertical="top"/>
    </xf>
    <xf numFmtId="0" fontId="31" fillId="0" borderId="18" xfId="0" applyFont="1" applyBorder="1" applyAlignment="1">
      <alignment horizontal="left" vertical="top"/>
    </xf>
    <xf numFmtId="0" fontId="16" fillId="3" borderId="11" xfId="0" applyFont="1" applyFill="1" applyBorder="1" applyAlignment="1">
      <alignment horizontal="center" vertical="center"/>
    </xf>
    <xf numFmtId="0" fontId="16" fillId="3" borderId="12" xfId="0" applyFont="1" applyFill="1" applyBorder="1" applyAlignment="1">
      <alignment horizontal="center" vertical="center"/>
    </xf>
    <xf numFmtId="0" fontId="16" fillId="3" borderId="13" xfId="0" applyFont="1" applyFill="1" applyBorder="1" applyAlignment="1">
      <alignment horizontal="center" vertical="center"/>
    </xf>
    <xf numFmtId="0" fontId="16" fillId="3" borderId="23"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24" xfId="0" applyFont="1" applyFill="1" applyBorder="1" applyAlignment="1">
      <alignment horizontal="center" vertical="center"/>
    </xf>
    <xf numFmtId="0" fontId="16" fillId="3" borderId="25"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26" xfId="0" applyFont="1" applyFill="1" applyBorder="1" applyAlignment="1">
      <alignment horizontal="center" vertical="center"/>
    </xf>
    <xf numFmtId="0" fontId="13" fillId="5" borderId="11" xfId="0" applyFont="1" applyFill="1" applyBorder="1" applyAlignment="1" applyProtection="1">
      <alignment horizontal="center" vertical="center" wrapText="1"/>
      <protection locked="0"/>
    </xf>
    <xf numFmtId="0" fontId="13" fillId="5" borderId="12" xfId="0" applyFont="1" applyFill="1" applyBorder="1" applyAlignment="1" applyProtection="1">
      <alignment horizontal="center" vertical="center" wrapText="1"/>
      <protection locked="0"/>
    </xf>
    <xf numFmtId="0" fontId="13" fillId="5" borderId="13" xfId="0" applyFont="1" applyFill="1" applyBorder="1" applyAlignment="1" applyProtection="1">
      <alignment horizontal="center" vertical="center" wrapText="1"/>
      <protection locked="0"/>
    </xf>
    <xf numFmtId="0" fontId="13" fillId="5" borderId="23" xfId="0" applyFont="1" applyFill="1" applyBorder="1" applyAlignment="1" applyProtection="1">
      <alignment horizontal="center" vertical="center" wrapText="1"/>
      <protection locked="0"/>
    </xf>
    <xf numFmtId="0" fontId="13" fillId="5" borderId="0" xfId="0" applyFont="1" applyFill="1" applyBorder="1" applyAlignment="1" applyProtection="1">
      <alignment horizontal="center" vertical="center" wrapText="1"/>
      <protection locked="0"/>
    </xf>
    <xf numFmtId="0" fontId="13" fillId="5" borderId="24" xfId="0" applyFont="1" applyFill="1" applyBorder="1" applyAlignment="1" applyProtection="1">
      <alignment horizontal="center" vertical="center" wrapText="1"/>
      <protection locked="0"/>
    </xf>
    <xf numFmtId="0" fontId="13" fillId="5" borderId="25" xfId="0" applyFont="1" applyFill="1" applyBorder="1" applyAlignment="1" applyProtection="1">
      <alignment horizontal="center" vertical="center" wrapText="1"/>
      <protection locked="0"/>
    </xf>
    <xf numFmtId="0" fontId="13" fillId="5" borderId="9" xfId="0" applyFont="1" applyFill="1" applyBorder="1" applyAlignment="1" applyProtection="1">
      <alignment horizontal="center" vertical="center" wrapText="1"/>
      <protection locked="0"/>
    </xf>
    <xf numFmtId="0" fontId="13" fillId="5" borderId="26" xfId="0" applyFont="1" applyFill="1" applyBorder="1" applyAlignment="1" applyProtection="1">
      <alignment horizontal="center" vertical="center" wrapText="1"/>
      <protection locked="0"/>
    </xf>
    <xf numFmtId="0" fontId="11" fillId="3" borderId="20" xfId="0" applyFont="1" applyFill="1" applyBorder="1" applyAlignment="1">
      <alignment horizontal="center"/>
    </xf>
    <xf numFmtId="0" fontId="11" fillId="3" borderId="22" xfId="0" applyFont="1" applyFill="1" applyBorder="1" applyAlignment="1">
      <alignment horizontal="center"/>
    </xf>
    <xf numFmtId="0" fontId="11" fillId="3" borderId="21" xfId="0" applyFont="1" applyFill="1" applyBorder="1" applyAlignment="1">
      <alignment horizontal="center"/>
    </xf>
    <xf numFmtId="14" fontId="12" fillId="5" borderId="20" xfId="0" applyNumberFormat="1" applyFont="1" applyFill="1" applyBorder="1" applyAlignment="1" applyProtection="1">
      <alignment horizontal="center" vertical="center" wrapText="1"/>
      <protection locked="0"/>
    </xf>
    <xf numFmtId="14" fontId="12" fillId="5" borderId="21" xfId="0" applyNumberFormat="1" applyFont="1" applyFill="1" applyBorder="1" applyAlignment="1" applyProtection="1">
      <alignment horizontal="center" vertical="center" wrapText="1"/>
      <protection locked="0"/>
    </xf>
    <xf numFmtId="0" fontId="11" fillId="3" borderId="20"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21" xfId="0" applyFont="1" applyFill="1" applyBorder="1" applyAlignment="1">
      <alignment horizontal="center" vertical="center"/>
    </xf>
    <xf numFmtId="0" fontId="12" fillId="5" borderId="22" xfId="0" applyFont="1" applyFill="1" applyBorder="1" applyAlignment="1" applyProtection="1">
      <alignment horizontal="center" vertical="center" wrapText="1"/>
      <protection locked="0"/>
    </xf>
    <xf numFmtId="0" fontId="12" fillId="5" borderId="21" xfId="0" applyFont="1" applyFill="1" applyBorder="1" applyAlignment="1" applyProtection="1">
      <alignment horizontal="center" vertical="center" wrapText="1"/>
      <protection locked="0"/>
    </xf>
    <xf numFmtId="0" fontId="22" fillId="3" borderId="11" xfId="3" applyFont="1" applyFill="1" applyBorder="1" applyAlignment="1">
      <alignment horizontal="center" vertical="center"/>
    </xf>
    <xf numFmtId="0" fontId="22" fillId="3" borderId="12" xfId="3" applyFont="1" applyFill="1" applyBorder="1" applyAlignment="1">
      <alignment horizontal="center" vertical="center"/>
    </xf>
    <xf numFmtId="0" fontId="22" fillId="3" borderId="25" xfId="3" applyFont="1" applyFill="1" applyBorder="1" applyAlignment="1">
      <alignment horizontal="center" vertical="center"/>
    </xf>
    <xf numFmtId="0" fontId="22" fillId="3" borderId="9" xfId="3" applyFont="1" applyFill="1" applyBorder="1" applyAlignment="1">
      <alignment horizontal="center" vertical="center"/>
    </xf>
    <xf numFmtId="0" fontId="15" fillId="0" borderId="23" xfId="0" applyFont="1" applyBorder="1" applyAlignment="1">
      <alignment horizontal="left"/>
    </xf>
    <xf numFmtId="0" fontId="19" fillId="0" borderId="25" xfId="0" applyFont="1" applyFill="1" applyBorder="1" applyAlignment="1">
      <alignment horizontal="left" vertical="top" wrapText="1"/>
    </xf>
    <xf numFmtId="0" fontId="19" fillId="0" borderId="9" xfId="0" applyFont="1" applyFill="1" applyBorder="1" applyAlignment="1">
      <alignment horizontal="left" vertical="top" wrapText="1"/>
    </xf>
    <xf numFmtId="0" fontId="19" fillId="0" borderId="26" xfId="0" applyFont="1" applyFill="1" applyBorder="1" applyAlignment="1">
      <alignment horizontal="left" vertical="top" wrapText="1"/>
    </xf>
    <xf numFmtId="0" fontId="23" fillId="0" borderId="11" xfId="0" applyFont="1" applyFill="1" applyBorder="1" applyAlignment="1">
      <alignment horizontal="left" vertical="top" wrapText="1"/>
    </xf>
    <xf numFmtId="0" fontId="23" fillId="0" borderId="12" xfId="0" applyFont="1" applyFill="1" applyBorder="1" applyAlignment="1">
      <alignment horizontal="left" vertical="top" wrapText="1"/>
    </xf>
    <xf numFmtId="0" fontId="23" fillId="0" borderId="13" xfId="0" applyFont="1" applyFill="1" applyBorder="1" applyAlignment="1">
      <alignment horizontal="left" vertical="top" wrapText="1"/>
    </xf>
    <xf numFmtId="0" fontId="11" fillId="3" borderId="0" xfId="0" quotePrefix="1" applyFont="1" applyFill="1" applyBorder="1" applyAlignment="1">
      <alignment horizontal="left" wrapText="1"/>
    </xf>
    <xf numFmtId="0" fontId="11" fillId="3" borderId="0" xfId="3" applyFont="1" applyFill="1" applyAlignment="1">
      <alignment horizontal="left" vertical="center" wrapText="1"/>
    </xf>
    <xf numFmtId="0" fontId="28" fillId="3" borderId="0" xfId="0" applyFont="1" applyFill="1" applyAlignment="1">
      <alignment horizontal="left" vertical="center" wrapText="1"/>
    </xf>
    <xf numFmtId="0" fontId="35" fillId="0" borderId="0" xfId="0" applyFont="1" applyBorder="1" applyAlignment="1">
      <alignment horizontal="left" vertical="top"/>
    </xf>
    <xf numFmtId="0" fontId="12" fillId="0" borderId="0" xfId="0" applyFont="1" applyBorder="1" applyAlignment="1">
      <alignment horizontal="right"/>
    </xf>
    <xf numFmtId="0" fontId="12" fillId="0" borderId="0" xfId="0" applyFont="1" applyBorder="1" applyAlignment="1">
      <alignment horizontal="left" vertical="top" wrapText="1"/>
    </xf>
    <xf numFmtId="0" fontId="12" fillId="0" borderId="0" xfId="0" applyFont="1" applyBorder="1" applyAlignment="1">
      <alignment horizontal="left" vertical="top"/>
    </xf>
    <xf numFmtId="0" fontId="35" fillId="0" borderId="0" xfId="0" applyFont="1" applyAlignment="1">
      <alignment horizontal="left" vertical="top"/>
    </xf>
    <xf numFmtId="0" fontId="12" fillId="0" borderId="0" xfId="0" applyFont="1" applyBorder="1" applyAlignment="1">
      <alignment horizontal="left"/>
    </xf>
    <xf numFmtId="0" fontId="12" fillId="0" borderId="16" xfId="0" applyFont="1" applyBorder="1" applyAlignment="1" applyProtection="1">
      <alignment horizontal="left" vertical="top" wrapText="1"/>
      <protection locked="0"/>
    </xf>
    <xf numFmtId="0" fontId="12" fillId="0" borderId="14" xfId="0" applyFont="1" applyBorder="1" applyAlignment="1" applyProtection="1">
      <alignment horizontal="left" vertical="top" wrapText="1"/>
      <protection locked="0"/>
    </xf>
    <xf numFmtId="0" fontId="12" fillId="0" borderId="19" xfId="0" applyFont="1" applyBorder="1" applyAlignment="1" applyProtection="1">
      <alignment horizontal="left" vertical="top" wrapText="1"/>
      <protection locked="0"/>
    </xf>
    <xf numFmtId="0" fontId="15" fillId="0" borderId="0" xfId="0" applyFont="1" applyBorder="1" applyAlignment="1">
      <alignment horizontal="left"/>
    </xf>
    <xf numFmtId="0" fontId="19" fillId="5" borderId="0" xfId="0" applyFont="1" applyFill="1" applyAlignment="1">
      <alignment horizontal="left"/>
    </xf>
    <xf numFmtId="0" fontId="27" fillId="0" borderId="0" xfId="0" applyFont="1" applyAlignment="1">
      <alignment horizontal="left"/>
    </xf>
    <xf numFmtId="0" fontId="0" fillId="0" borderId="0" xfId="0" applyBorder="1" applyAlignment="1">
      <alignment horizontal="right"/>
    </xf>
    <xf numFmtId="0" fontId="0" fillId="0" borderId="7" xfId="0" applyBorder="1" applyAlignment="1">
      <alignment horizontal="right"/>
    </xf>
    <xf numFmtId="0" fontId="18" fillId="4" borderId="11"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8" fillId="4" borderId="24"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26" xfId="0" applyFont="1" applyFill="1" applyBorder="1" applyAlignment="1">
      <alignment horizontal="center" vertical="center" wrapText="1"/>
    </xf>
    <xf numFmtId="0" fontId="30" fillId="0" borderId="7" xfId="0" applyFont="1" applyBorder="1" applyAlignment="1">
      <alignment horizontal="right"/>
    </xf>
    <xf numFmtId="0" fontId="30" fillId="0" borderId="0" xfId="0" applyFont="1" applyBorder="1" applyAlignment="1">
      <alignment horizontal="right"/>
    </xf>
    <xf numFmtId="0" fontId="64" fillId="0" borderId="12" xfId="0" applyFont="1" applyBorder="1" applyAlignment="1">
      <alignment horizontal="left" vertical="top" wrapText="1"/>
    </xf>
    <xf numFmtId="0" fontId="64" fillId="0" borderId="0" xfId="0" applyFont="1" applyAlignment="1">
      <alignment horizontal="left" vertical="top" wrapText="1"/>
    </xf>
    <xf numFmtId="0" fontId="27" fillId="0" borderId="0" xfId="0" applyFont="1" applyAlignment="1">
      <alignment horizontal="left" wrapText="1"/>
    </xf>
    <xf numFmtId="0" fontId="0" fillId="0" borderId="0" xfId="0" applyFill="1" applyBorder="1" applyAlignment="1">
      <alignment horizontal="right" vertical="center"/>
    </xf>
    <xf numFmtId="0" fontId="61" fillId="0" borderId="0" xfId="0" applyFont="1" applyAlignment="1">
      <alignment horizontal="left"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26" xfId="0" applyFont="1" applyBorder="1" applyAlignment="1">
      <alignment horizontal="center" vertical="center" wrapText="1"/>
    </xf>
    <xf numFmtId="0" fontId="35" fillId="0" borderId="43" xfId="0" applyFont="1" applyBorder="1" applyAlignment="1">
      <alignment horizontal="left" vertical="top" wrapText="1"/>
    </xf>
    <xf numFmtId="0" fontId="30" fillId="0" borderId="7" xfId="0" applyFont="1" applyFill="1" applyBorder="1" applyAlignment="1">
      <alignment horizontal="right"/>
    </xf>
    <xf numFmtId="0" fontId="30" fillId="0" borderId="0" xfId="0" applyFont="1" applyFill="1" applyBorder="1" applyAlignment="1">
      <alignment horizontal="right"/>
    </xf>
    <xf numFmtId="0" fontId="30" fillId="0" borderId="0" xfId="0" applyFont="1" applyFill="1" applyBorder="1" applyAlignment="1">
      <alignment horizontal="right" wrapText="1"/>
    </xf>
    <xf numFmtId="0" fontId="0" fillId="0" borderId="0" xfId="0" applyFill="1" applyBorder="1" applyAlignment="1">
      <alignment horizontal="right"/>
    </xf>
    <xf numFmtId="0" fontId="15" fillId="0" borderId="0" xfId="0" quotePrefix="1" applyFont="1" applyBorder="1" applyAlignment="1">
      <alignment horizontal="left" vertical="top" wrapText="1"/>
    </xf>
    <xf numFmtId="0" fontId="15" fillId="0" borderId="0" xfId="0" applyFont="1" applyBorder="1" applyAlignment="1">
      <alignment horizontal="left" vertical="top" wrapText="1"/>
    </xf>
    <xf numFmtId="0" fontId="61" fillId="0" borderId="0" xfId="0" applyFont="1" applyBorder="1" applyAlignment="1">
      <alignment horizontal="left" vertical="center" wrapText="1"/>
    </xf>
    <xf numFmtId="0" fontId="30" fillId="0" borderId="0" xfId="0" applyFont="1" applyFill="1" applyBorder="1" applyAlignment="1">
      <alignment horizontal="right" vertical="center"/>
    </xf>
    <xf numFmtId="0" fontId="18" fillId="0" borderId="23" xfId="0" quotePrefix="1" applyFont="1" applyBorder="1" applyAlignment="1">
      <alignment horizontal="center" vertical="center" wrapText="1"/>
    </xf>
    <xf numFmtId="0" fontId="18" fillId="0" borderId="11" xfId="0" quotePrefix="1" applyFont="1" applyBorder="1" applyAlignment="1">
      <alignment horizontal="center" vertical="center" wrapText="1"/>
    </xf>
    <xf numFmtId="0" fontId="15" fillId="0" borderId="0" xfId="0" applyFont="1" applyBorder="1" applyAlignment="1">
      <alignment horizontal="left" wrapText="1"/>
    </xf>
    <xf numFmtId="0" fontId="27" fillId="0" borderId="0" xfId="0" applyFont="1" applyAlignment="1">
      <alignment horizontal="left" vertical="top" wrapText="1"/>
    </xf>
    <xf numFmtId="0" fontId="37" fillId="0" borderId="12" xfId="0" applyFont="1" applyBorder="1" applyAlignment="1">
      <alignment horizontal="left" vertical="top" wrapText="1"/>
    </xf>
    <xf numFmtId="0" fontId="37" fillId="0" borderId="0" xfId="0" applyFont="1" applyBorder="1" applyAlignment="1">
      <alignment horizontal="left" vertical="top" wrapText="1"/>
    </xf>
    <xf numFmtId="0" fontId="15" fillId="0" borderId="12" xfId="0" applyFont="1" applyBorder="1" applyAlignment="1">
      <alignment horizontal="left" vertical="top" wrapText="1"/>
    </xf>
    <xf numFmtId="0" fontId="38" fillId="5" borderId="0" xfId="0" applyFont="1" applyFill="1" applyBorder="1" applyAlignment="1">
      <alignment horizontal="center" vertical="center"/>
    </xf>
    <xf numFmtId="0" fontId="38" fillId="5" borderId="9" xfId="0" applyFont="1" applyFill="1" applyBorder="1" applyAlignment="1">
      <alignment horizontal="center" vertical="center"/>
    </xf>
    <xf numFmtId="0" fontId="0" fillId="0" borderId="0" xfId="0" applyBorder="1" applyAlignment="1">
      <alignment horizontal="center"/>
    </xf>
    <xf numFmtId="0" fontId="0" fillId="0" borderId="7" xfId="0" applyFill="1" applyBorder="1" applyAlignment="1">
      <alignment horizontal="right"/>
    </xf>
    <xf numFmtId="0" fontId="0" fillId="0" borderId="7" xfId="0" applyFill="1" applyBorder="1" applyAlignment="1">
      <alignment horizontal="right" vertical="center"/>
    </xf>
    <xf numFmtId="0" fontId="18" fillId="0" borderId="1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5" fillId="0" borderId="0" xfId="0" applyFont="1" applyAlignment="1">
      <alignment horizontal="left" wrapText="1"/>
    </xf>
    <xf numFmtId="0" fontId="22" fillId="3" borderId="0" xfId="0" applyFont="1" applyFill="1" applyAlignment="1">
      <alignment horizontal="center" vertical="center" wrapText="1"/>
    </xf>
    <xf numFmtId="0" fontId="17" fillId="3" borderId="0" xfId="0" applyFont="1" applyFill="1" applyAlignment="1">
      <alignment horizontal="left"/>
    </xf>
    <xf numFmtId="0" fontId="17" fillId="3" borderId="0" xfId="0" applyFont="1" applyFill="1" applyAlignment="1">
      <alignment horizontal="left" wrapText="1"/>
    </xf>
    <xf numFmtId="0" fontId="18" fillId="4" borderId="27" xfId="0" applyFont="1" applyFill="1" applyBorder="1" applyAlignment="1">
      <alignment horizontal="center" vertical="center" wrapText="1"/>
    </xf>
    <xf numFmtId="0" fontId="18" fillId="4" borderId="28" xfId="0" applyFont="1" applyFill="1" applyBorder="1" applyAlignment="1">
      <alignment horizontal="center" vertical="center" wrapText="1"/>
    </xf>
    <xf numFmtId="0" fontId="18" fillId="4" borderId="29" xfId="0" applyFont="1" applyFill="1" applyBorder="1" applyAlignment="1">
      <alignment horizontal="center" vertical="center" wrapText="1"/>
    </xf>
    <xf numFmtId="0" fontId="18" fillId="4" borderId="30" xfId="0" applyFont="1" applyFill="1" applyBorder="1" applyAlignment="1">
      <alignment horizontal="center" vertical="center" wrapText="1"/>
    </xf>
    <xf numFmtId="0" fontId="18" fillId="4" borderId="31" xfId="0" applyFont="1" applyFill="1" applyBorder="1" applyAlignment="1">
      <alignment horizontal="center" vertical="center" wrapText="1"/>
    </xf>
    <xf numFmtId="0" fontId="18" fillId="4" borderId="32" xfId="0" applyFont="1" applyFill="1" applyBorder="1" applyAlignment="1">
      <alignment horizontal="center" vertical="center" wrapText="1"/>
    </xf>
    <xf numFmtId="0" fontId="18" fillId="4" borderId="33" xfId="0" applyFont="1" applyFill="1" applyBorder="1" applyAlignment="1">
      <alignment horizontal="center" vertical="center" wrapText="1"/>
    </xf>
    <xf numFmtId="0" fontId="18" fillId="4" borderId="34" xfId="0" applyFont="1" applyFill="1" applyBorder="1" applyAlignment="1">
      <alignment horizontal="center" vertical="center" wrapText="1"/>
    </xf>
    <xf numFmtId="0" fontId="15" fillId="0" borderId="0" xfId="0" applyFont="1" applyFill="1" applyAlignment="1">
      <alignment horizontal="left" vertical="center" wrapText="1"/>
    </xf>
    <xf numFmtId="0" fontId="15" fillId="0" borderId="0" xfId="0" applyFont="1" applyFill="1" applyAlignment="1">
      <alignment horizontal="left" vertical="top" wrapText="1"/>
    </xf>
    <xf numFmtId="0" fontId="15" fillId="0" borderId="0" xfId="0" applyFont="1" applyAlignment="1">
      <alignment vertical="top" wrapText="1"/>
    </xf>
    <xf numFmtId="0" fontId="0" fillId="0" borderId="0" xfId="0" applyBorder="1" applyAlignment="1">
      <alignment horizontal="right" vertical="center"/>
    </xf>
    <xf numFmtId="0" fontId="37" fillId="0" borderId="0" xfId="0" applyFont="1" applyBorder="1" applyAlignment="1">
      <alignment horizontal="left" vertical="center" wrapText="1"/>
    </xf>
    <xf numFmtId="0" fontId="37" fillId="0" borderId="0" xfId="0" applyFont="1" applyAlignment="1">
      <alignment horizontal="left" wrapText="1"/>
    </xf>
    <xf numFmtId="0" fontId="61" fillId="0" borderId="12" xfId="0" applyFont="1" applyBorder="1" applyAlignment="1">
      <alignment horizontal="left" vertical="center" wrapText="1"/>
    </xf>
    <xf numFmtId="0" fontId="37" fillId="0" borderId="0" xfId="0" applyFont="1" applyBorder="1" applyAlignment="1">
      <alignment horizontal="center" vertical="top" wrapText="1"/>
    </xf>
    <xf numFmtId="0" fontId="18" fillId="0" borderId="27"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0" borderId="31" xfId="0" applyFont="1" applyFill="1" applyBorder="1" applyAlignment="1">
      <alignment horizontal="center" vertical="center" wrapText="1"/>
    </xf>
    <xf numFmtId="0" fontId="18" fillId="0" borderId="32" xfId="0" applyFont="1" applyFill="1" applyBorder="1" applyAlignment="1">
      <alignment horizontal="center" vertical="center" wrapText="1"/>
    </xf>
    <xf numFmtId="0" fontId="18" fillId="0" borderId="33" xfId="0" applyFont="1" applyFill="1" applyBorder="1" applyAlignment="1">
      <alignment horizontal="center" vertical="center" wrapText="1"/>
    </xf>
    <xf numFmtId="0" fontId="18" fillId="0" borderId="34" xfId="0" applyFont="1" applyFill="1" applyBorder="1" applyAlignment="1">
      <alignment horizontal="center" vertical="center" wrapText="1"/>
    </xf>
    <xf numFmtId="0" fontId="27" fillId="0" borderId="0" xfId="0" applyFont="1" applyBorder="1" applyAlignment="1">
      <alignment horizontal="left" vertical="center" wrapText="1"/>
    </xf>
    <xf numFmtId="0" fontId="15" fillId="0" borderId="0" xfId="0" applyFont="1" applyAlignment="1">
      <alignment horizontal="left" vertical="top" wrapText="1"/>
    </xf>
    <xf numFmtId="0" fontId="19" fillId="0" borderId="27"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34" xfId="0" applyFont="1" applyBorder="1" applyAlignment="1">
      <alignment horizontal="center" vertical="center" wrapText="1"/>
    </xf>
    <xf numFmtId="0" fontId="56" fillId="3" borderId="20" xfId="0" applyFont="1" applyFill="1" applyBorder="1" applyAlignment="1">
      <alignment horizontal="center"/>
    </xf>
    <xf numFmtId="0" fontId="56" fillId="3" borderId="22" xfId="0" applyFont="1" applyFill="1" applyBorder="1" applyAlignment="1">
      <alignment horizontal="center"/>
    </xf>
    <xf numFmtId="0" fontId="56" fillId="3" borderId="21" xfId="0" applyFont="1" applyFill="1" applyBorder="1" applyAlignment="1">
      <alignment horizontal="center"/>
    </xf>
    <xf numFmtId="14" fontId="14" fillId="4" borderId="20" xfId="0" applyNumberFormat="1" applyFont="1" applyFill="1" applyBorder="1" applyAlignment="1" applyProtection="1">
      <alignment horizontal="center" vertical="center" wrapText="1"/>
      <protection locked="0"/>
    </xf>
    <xf numFmtId="14" fontId="14" fillId="4" borderId="21" xfId="0" applyNumberFormat="1" applyFont="1" applyFill="1" applyBorder="1" applyAlignment="1" applyProtection="1">
      <alignment horizontal="center" vertical="center" wrapText="1"/>
      <protection locked="0"/>
    </xf>
    <xf numFmtId="0" fontId="13" fillId="4" borderId="11" xfId="0" applyFont="1" applyFill="1" applyBorder="1" applyAlignment="1" applyProtection="1">
      <alignment horizontal="center" vertical="center" wrapText="1"/>
      <protection locked="0"/>
    </xf>
    <xf numFmtId="0" fontId="13" fillId="4" borderId="12" xfId="0" applyFont="1" applyFill="1" applyBorder="1" applyAlignment="1" applyProtection="1">
      <alignment horizontal="center" vertical="center" wrapText="1"/>
      <protection locked="0"/>
    </xf>
    <xf numFmtId="0" fontId="13" fillId="4" borderId="13" xfId="0" applyFont="1" applyFill="1" applyBorder="1" applyAlignment="1" applyProtection="1">
      <alignment horizontal="center" vertical="center" wrapText="1"/>
      <protection locked="0"/>
    </xf>
    <xf numFmtId="0" fontId="13" fillId="4" borderId="23" xfId="0" applyFont="1" applyFill="1" applyBorder="1" applyAlignment="1" applyProtection="1">
      <alignment horizontal="center" vertical="center" wrapText="1"/>
      <protection locked="0"/>
    </xf>
    <xf numFmtId="0" fontId="13" fillId="4" borderId="0" xfId="0" applyFont="1" applyFill="1" applyBorder="1" applyAlignment="1" applyProtection="1">
      <alignment horizontal="center" vertical="center" wrapText="1"/>
      <protection locked="0"/>
    </xf>
    <xf numFmtId="0" fontId="13" fillId="4" borderId="24" xfId="0" applyFont="1" applyFill="1" applyBorder="1" applyAlignment="1" applyProtection="1">
      <alignment horizontal="center" vertical="center" wrapText="1"/>
      <protection locked="0"/>
    </xf>
    <xf numFmtId="0" fontId="13" fillId="4" borderId="25" xfId="0" applyFont="1" applyFill="1" applyBorder="1" applyAlignment="1" applyProtection="1">
      <alignment horizontal="center" vertical="center" wrapText="1"/>
      <protection locked="0"/>
    </xf>
    <xf numFmtId="0" fontId="13" fillId="4" borderId="9" xfId="0" applyFont="1" applyFill="1" applyBorder="1" applyAlignment="1" applyProtection="1">
      <alignment horizontal="center" vertical="center" wrapText="1"/>
      <protection locked="0"/>
    </xf>
    <xf numFmtId="0" fontId="13" fillId="4" borderId="26" xfId="0" applyFont="1" applyFill="1" applyBorder="1" applyAlignment="1" applyProtection="1">
      <alignment horizontal="center" vertical="center" wrapText="1"/>
      <protection locked="0"/>
    </xf>
    <xf numFmtId="0" fontId="56" fillId="3" borderId="20" xfId="0" applyFont="1" applyFill="1" applyBorder="1" applyAlignment="1">
      <alignment horizontal="center" vertical="center"/>
    </xf>
    <xf numFmtId="0" fontId="56" fillId="3" borderId="22" xfId="0" applyFont="1" applyFill="1" applyBorder="1" applyAlignment="1">
      <alignment horizontal="center" vertical="center"/>
    </xf>
    <xf numFmtId="0" fontId="56" fillId="3" borderId="21" xfId="0" applyFont="1" applyFill="1" applyBorder="1" applyAlignment="1">
      <alignment horizontal="center" vertical="center"/>
    </xf>
    <xf numFmtId="44" fontId="12" fillId="5" borderId="38" xfId="0" applyNumberFormat="1" applyFont="1" applyFill="1" applyBorder="1" applyAlignment="1" applyProtection="1">
      <alignment horizontal="right"/>
      <protection locked="0"/>
    </xf>
    <xf numFmtId="44" fontId="12" fillId="5" borderId="39" xfId="0" applyNumberFormat="1" applyFont="1" applyFill="1" applyBorder="1" applyAlignment="1" applyProtection="1">
      <alignment horizontal="right"/>
      <protection locked="0"/>
    </xf>
    <xf numFmtId="0" fontId="0" fillId="0" borderId="0" xfId="0" applyAlignment="1">
      <alignment horizontal="center" vertical="top"/>
    </xf>
    <xf numFmtId="0" fontId="0" fillId="0" borderId="0" xfId="0" applyAlignment="1">
      <alignment horizontal="center"/>
    </xf>
    <xf numFmtId="0" fontId="11" fillId="3" borderId="7" xfId="0" applyFont="1" applyFill="1" applyBorder="1" applyAlignment="1">
      <alignment horizontal="center" vertical="top" wrapText="1"/>
    </xf>
    <xf numFmtId="0" fontId="11" fillId="3" borderId="0" xfId="0" applyFont="1" applyFill="1" applyBorder="1" applyAlignment="1">
      <alignment horizontal="center" vertical="top" wrapText="1"/>
    </xf>
    <xf numFmtId="0" fontId="11" fillId="3" borderId="5" xfId="0" applyFont="1" applyFill="1" applyBorder="1" applyAlignment="1">
      <alignment horizontal="center" vertical="top" wrapText="1"/>
    </xf>
    <xf numFmtId="0" fontId="0" fillId="0" borderId="0" xfId="0" applyAlignment="1">
      <alignment horizontal="center" vertical="top" wrapText="1"/>
    </xf>
    <xf numFmtId="44" fontId="0" fillId="5" borderId="40" xfId="0" applyNumberFormat="1" applyFill="1" applyBorder="1" applyAlignment="1" applyProtection="1">
      <alignment horizontal="center"/>
      <protection locked="0"/>
    </xf>
    <xf numFmtId="44" fontId="0" fillId="5" borderId="41" xfId="0" applyNumberFormat="1" applyFill="1" applyBorder="1" applyAlignment="1" applyProtection="1">
      <alignment horizontal="center"/>
      <protection locked="0"/>
    </xf>
    <xf numFmtId="44" fontId="12" fillId="5" borderId="36" xfId="1" applyNumberFormat="1" applyFont="1" applyFill="1" applyBorder="1" applyAlignment="1" applyProtection="1">
      <alignment horizontal="right" vertical="center"/>
      <protection locked="0"/>
    </xf>
    <xf numFmtId="44" fontId="12" fillId="5" borderId="17" xfId="1" applyNumberFormat="1" applyFont="1" applyFill="1" applyBorder="1" applyAlignment="1" applyProtection="1">
      <alignment horizontal="right" vertical="center"/>
      <protection locked="0"/>
    </xf>
    <xf numFmtId="44" fontId="12" fillId="5" borderId="16" xfId="1" applyNumberFormat="1" applyFont="1" applyFill="1" applyBorder="1" applyAlignment="1" applyProtection="1">
      <alignment horizontal="right" vertical="center"/>
      <protection locked="0"/>
    </xf>
    <xf numFmtId="44" fontId="12" fillId="5" borderId="19" xfId="1" applyNumberFormat="1" applyFont="1" applyFill="1" applyBorder="1" applyAlignment="1" applyProtection="1">
      <alignment horizontal="right" vertical="center"/>
      <protection locked="0"/>
    </xf>
    <xf numFmtId="44" fontId="12" fillId="5" borderId="40" xfId="0" applyNumberFormat="1" applyFont="1" applyFill="1" applyBorder="1" applyAlignment="1">
      <alignment horizontal="center"/>
    </xf>
    <xf numFmtId="44" fontId="12" fillId="5" borderId="41" xfId="0" applyNumberFormat="1" applyFont="1" applyFill="1" applyBorder="1" applyAlignment="1">
      <alignment horizontal="center"/>
    </xf>
    <xf numFmtId="0" fontId="0" fillId="0" borderId="0" xfId="0" applyAlignment="1">
      <alignment horizontal="center" vertical="center"/>
    </xf>
    <xf numFmtId="14" fontId="14" fillId="4" borderId="22" xfId="0" applyNumberFormat="1" applyFont="1" applyFill="1" applyBorder="1" applyAlignment="1" applyProtection="1">
      <alignment horizontal="center" vertical="center" wrapText="1"/>
      <protection locked="0"/>
    </xf>
    <xf numFmtId="0" fontId="11" fillId="3" borderId="5" xfId="0" applyFont="1" applyFill="1" applyBorder="1" applyAlignment="1">
      <alignment horizontal="center"/>
    </xf>
    <xf numFmtId="0" fontId="0" fillId="0" borderId="15" xfId="0" applyBorder="1" applyAlignment="1">
      <alignment horizontal="center" vertical="center"/>
    </xf>
  </cellXfs>
  <cellStyles count="5">
    <cellStyle name="Lien hypertexte" xfId="3" builtinId="8"/>
    <cellStyle name="Milliers" xfId="4" builtinId="3"/>
    <cellStyle name="Monétaire" xfId="1" builtinId="4"/>
    <cellStyle name="Normal" xfId="0" builtinId="0"/>
    <cellStyle name="Pourcentage" xfId="2" builtinId="5"/>
  </cellStyles>
  <dxfs count="70">
    <dxf>
      <font>
        <color rgb="FF9C0006"/>
      </font>
    </dxf>
    <dxf>
      <font>
        <color rgb="FF00B050"/>
      </font>
    </dxf>
    <dxf>
      <font>
        <color rgb="FF00B050"/>
      </font>
    </dxf>
    <dxf>
      <font>
        <color rgb="FFC00000"/>
      </font>
    </dxf>
    <dxf>
      <font>
        <color rgb="FF9C0006"/>
      </font>
    </dxf>
    <dxf>
      <font>
        <color rgb="FF00B050"/>
      </font>
    </dxf>
    <dxf>
      <font>
        <color rgb="FF9C0006"/>
      </font>
    </dxf>
    <dxf>
      <font>
        <color rgb="FF00B050"/>
      </font>
    </dxf>
    <dxf>
      <font>
        <color rgb="FF00B050"/>
      </font>
    </dxf>
    <dxf>
      <font>
        <color rgb="FFC00000"/>
      </font>
    </dxf>
    <dxf>
      <font>
        <color rgb="FF00B050"/>
      </font>
    </dxf>
    <dxf>
      <font>
        <color rgb="FFC00000"/>
      </font>
    </dxf>
    <dxf>
      <font>
        <color rgb="FF9C0006"/>
      </font>
    </dxf>
    <dxf>
      <font>
        <color rgb="FF00B050"/>
      </font>
    </dxf>
    <dxf>
      <font>
        <color rgb="FF00B050"/>
      </font>
    </dxf>
    <dxf>
      <font>
        <color rgb="FFC00000"/>
      </font>
    </dxf>
    <dxf>
      <font>
        <color rgb="FF9C0006"/>
      </font>
    </dxf>
    <dxf>
      <font>
        <color rgb="FF00B050"/>
      </font>
    </dxf>
    <dxf>
      <font>
        <color rgb="FF00B050"/>
      </font>
    </dxf>
    <dxf>
      <font>
        <color rgb="FFC00000"/>
      </font>
    </dxf>
    <dxf>
      <font>
        <color rgb="FF9C0006"/>
      </font>
    </dxf>
    <dxf>
      <font>
        <color rgb="FF00B050"/>
      </font>
    </dxf>
    <dxf>
      <font>
        <color rgb="FF00B050"/>
      </font>
    </dxf>
    <dxf>
      <font>
        <color rgb="FFC00000"/>
      </font>
    </dxf>
    <dxf>
      <font>
        <color rgb="FF9C0006"/>
      </font>
    </dxf>
    <dxf>
      <font>
        <color rgb="FF00B050"/>
      </font>
    </dxf>
    <dxf>
      <font>
        <color rgb="FF00B050"/>
      </font>
    </dxf>
    <dxf>
      <font>
        <color rgb="FFC00000"/>
      </font>
    </dxf>
    <dxf>
      <font>
        <color rgb="FF9C0006"/>
      </font>
    </dxf>
    <dxf>
      <font>
        <color rgb="FF00B050"/>
      </font>
    </dxf>
    <dxf>
      <font>
        <color rgb="FF00B050"/>
      </font>
    </dxf>
    <dxf>
      <font>
        <color rgb="FFC00000"/>
      </font>
    </dxf>
    <dxf>
      <font>
        <color rgb="FF00B050"/>
      </font>
    </dxf>
    <dxf>
      <font>
        <color rgb="FFC00000"/>
      </font>
    </dxf>
    <dxf>
      <font>
        <color rgb="FFC00000"/>
      </font>
    </dxf>
    <dxf>
      <font>
        <color rgb="FF9C0006"/>
      </font>
    </dxf>
    <dxf>
      <font>
        <color rgb="FF00B050"/>
      </font>
    </dxf>
    <dxf>
      <font>
        <color rgb="FF00B050"/>
      </font>
    </dxf>
    <dxf>
      <font>
        <color rgb="FFC00000"/>
      </font>
    </dxf>
    <dxf>
      <font>
        <color rgb="FF9C0006"/>
      </font>
    </dxf>
    <dxf>
      <font>
        <color rgb="FF00B050"/>
      </font>
    </dxf>
    <dxf>
      <font>
        <color rgb="FF9C0006"/>
      </font>
    </dxf>
    <dxf>
      <font>
        <color rgb="FF00B050"/>
      </font>
    </dxf>
    <dxf>
      <font>
        <color rgb="FF00B050"/>
      </font>
    </dxf>
    <dxf>
      <font>
        <color rgb="FFC00000"/>
      </font>
    </dxf>
    <dxf>
      <font>
        <color rgb="FF00B050"/>
      </font>
    </dxf>
    <dxf>
      <font>
        <color rgb="FFC00000"/>
      </font>
    </dxf>
    <dxf>
      <font>
        <color rgb="FF9C0006"/>
      </font>
    </dxf>
    <dxf>
      <font>
        <color rgb="FF00B050"/>
      </font>
    </dxf>
    <dxf>
      <font>
        <color rgb="FF00B050"/>
      </font>
    </dxf>
    <dxf>
      <font>
        <color rgb="FFC00000"/>
      </font>
    </dxf>
    <dxf>
      <font>
        <color rgb="FF9C0006"/>
      </font>
    </dxf>
    <dxf>
      <font>
        <color rgb="FF00B050"/>
      </font>
    </dxf>
    <dxf>
      <font>
        <color rgb="FF00B050"/>
      </font>
    </dxf>
    <dxf>
      <font>
        <color rgb="FFC00000"/>
      </font>
    </dxf>
    <dxf>
      <font>
        <color rgb="FF9C0006"/>
      </font>
    </dxf>
    <dxf>
      <font>
        <color rgb="FF00B050"/>
      </font>
    </dxf>
    <dxf>
      <font>
        <color rgb="FF00B050"/>
      </font>
    </dxf>
    <dxf>
      <font>
        <color rgb="FFC00000"/>
      </font>
    </dxf>
    <dxf>
      <font>
        <color rgb="FF9C0006"/>
      </font>
    </dxf>
    <dxf>
      <font>
        <color rgb="FF00B050"/>
      </font>
    </dxf>
    <dxf>
      <font>
        <color rgb="FF00B050"/>
      </font>
    </dxf>
    <dxf>
      <font>
        <color rgb="FFC00000"/>
      </font>
    </dxf>
    <dxf>
      <font>
        <color rgb="FF9C0006"/>
      </font>
    </dxf>
    <dxf>
      <font>
        <color rgb="FF00B050"/>
      </font>
    </dxf>
    <dxf>
      <font>
        <color rgb="FF00B050"/>
      </font>
    </dxf>
    <dxf>
      <font>
        <color rgb="FFC00000"/>
      </font>
    </dxf>
    <dxf>
      <font>
        <color rgb="FF00B050"/>
      </font>
    </dxf>
    <dxf>
      <font>
        <color rgb="FFC00000"/>
      </font>
    </dxf>
    <dxf>
      <font>
        <color rgb="FFC00000"/>
      </font>
    </dxf>
  </dxfs>
  <tableStyles count="0" defaultTableStyle="TableStyleMedium2" defaultPivotStyle="PivotStyleLight16"/>
  <colors>
    <mruColors>
      <color rgb="FF0D4174"/>
      <color rgb="FF8ECFDD"/>
      <color rgb="FFFAC2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Drop" dropStyle="combo" dx="16" fmlaLink="Annexes!$F$5" fmlaRange="Annexes!$B$4:$B$86" noThreeD="1" sel="1" val="0"/>
</file>

<file path=xl/ctrlProps/ctrlProp10.xml><?xml version="1.0" encoding="utf-8"?>
<formControlPr xmlns="http://schemas.microsoft.com/office/spreadsheetml/2009/9/main" objectType="CheckBox" fmlaLink="Annexes!$M$19" lockText="1" noThreeD="1"/>
</file>

<file path=xl/ctrlProps/ctrlProp11.xml><?xml version="1.0" encoding="utf-8"?>
<formControlPr xmlns="http://schemas.microsoft.com/office/spreadsheetml/2009/9/main" objectType="CheckBox" fmlaLink="Annexes!$M$21" lockText="1" noThreeD="1"/>
</file>

<file path=xl/ctrlProps/ctrlProp12.xml><?xml version="1.0" encoding="utf-8"?>
<formControlPr xmlns="http://schemas.microsoft.com/office/spreadsheetml/2009/9/main" objectType="CheckBox" fmlaLink="Annexes!$M$23" lockText="1" noThreeD="1"/>
</file>

<file path=xl/ctrlProps/ctrlProp13.xml><?xml version="1.0" encoding="utf-8"?>
<formControlPr xmlns="http://schemas.microsoft.com/office/spreadsheetml/2009/9/main" objectType="CheckBox" fmlaLink="Annexes!$M$26" lockText="1" noThreeD="1"/>
</file>

<file path=xl/ctrlProps/ctrlProp14.xml><?xml version="1.0" encoding="utf-8"?>
<formControlPr xmlns="http://schemas.microsoft.com/office/spreadsheetml/2009/9/main" objectType="CheckBox" fmlaLink="Annexes!$M$27" lockText="1" noThreeD="1"/>
</file>

<file path=xl/ctrlProps/ctrlProp15.xml><?xml version="1.0" encoding="utf-8"?>
<formControlPr xmlns="http://schemas.microsoft.com/office/spreadsheetml/2009/9/main" objectType="CheckBox" fmlaLink="Annexes!$M$29" lockText="1" noThreeD="1"/>
</file>

<file path=xl/ctrlProps/ctrlProp16.xml><?xml version="1.0" encoding="utf-8"?>
<formControlPr xmlns="http://schemas.microsoft.com/office/spreadsheetml/2009/9/main" objectType="CheckBox" fmlaLink="Annexes!$M$30" lockText="1" noThreeD="1"/>
</file>

<file path=xl/ctrlProps/ctrlProp17.xml><?xml version="1.0" encoding="utf-8"?>
<formControlPr xmlns="http://schemas.microsoft.com/office/spreadsheetml/2009/9/main" objectType="CheckBox" fmlaLink="Annexes!$M$24" lockText="1" noThreeD="1"/>
</file>

<file path=xl/ctrlProps/ctrlProp18.xml><?xml version="1.0" encoding="utf-8"?>
<formControlPr xmlns="http://schemas.microsoft.com/office/spreadsheetml/2009/9/main" objectType="CheckBox" fmlaLink="Annexes!$M$32" lockText="1" noThreeD="1"/>
</file>

<file path=xl/ctrlProps/ctrlProp19.xml><?xml version="1.0" encoding="utf-8"?>
<formControlPr xmlns="http://schemas.microsoft.com/office/spreadsheetml/2009/9/main" objectType="CheckBox" fmlaLink="Annexes!$M$33" lockText="1" noThreeD="1"/>
</file>

<file path=xl/ctrlProps/ctrlProp2.xml><?xml version="1.0" encoding="utf-8"?>
<formControlPr xmlns="http://schemas.microsoft.com/office/spreadsheetml/2009/9/main" objectType="Drop" dropStyle="combo" dx="16" fmlaLink="Annexes!$F$7" fmlaRange="Annexes!$D$4:$D$142" noThreeD="1" sel="1" val="0"/>
</file>

<file path=xl/ctrlProps/ctrlProp20.xml><?xml version="1.0" encoding="utf-8"?>
<formControlPr xmlns="http://schemas.microsoft.com/office/spreadsheetml/2009/9/main" objectType="CheckBox" fmlaLink="Annexes!$M$35" lockText="1" noThreeD="1"/>
</file>

<file path=xl/ctrlProps/ctrlProp21.xml><?xml version="1.0" encoding="utf-8"?>
<formControlPr xmlns="http://schemas.microsoft.com/office/spreadsheetml/2009/9/main" objectType="CheckBox" fmlaLink="Annexes!$M$38" lockText="1" noThreeD="1"/>
</file>

<file path=xl/ctrlProps/ctrlProp22.xml><?xml version="1.0" encoding="utf-8"?>
<formControlPr xmlns="http://schemas.microsoft.com/office/spreadsheetml/2009/9/main" objectType="CheckBox" fmlaLink="Annexes!$M$36" lockText="1" noThreeD="1"/>
</file>

<file path=xl/ctrlProps/ctrlProp23.xml><?xml version="1.0" encoding="utf-8"?>
<formControlPr xmlns="http://schemas.microsoft.com/office/spreadsheetml/2009/9/main" objectType="CheckBox" fmlaLink="Annexes!$M$39" lockText="1" noThreeD="1"/>
</file>

<file path=xl/ctrlProps/ctrlProp24.xml><?xml version="1.0" encoding="utf-8"?>
<formControlPr xmlns="http://schemas.microsoft.com/office/spreadsheetml/2009/9/main" objectType="CheckBox" fmlaLink="Annexes!$M$41" lockText="1" noThreeD="1"/>
</file>

<file path=xl/ctrlProps/ctrlProp25.xml><?xml version="1.0" encoding="utf-8"?>
<formControlPr xmlns="http://schemas.microsoft.com/office/spreadsheetml/2009/9/main" objectType="CheckBox" fmlaLink="Annexes!$M$43" lockText="1" noThreeD="1"/>
</file>

<file path=xl/ctrlProps/ctrlProp26.xml><?xml version="1.0" encoding="utf-8"?>
<formControlPr xmlns="http://schemas.microsoft.com/office/spreadsheetml/2009/9/main" objectType="CheckBox" fmlaLink="Annexes!$M$42" lockText="1" noThreeD="1"/>
</file>

<file path=xl/ctrlProps/ctrlProp27.xml><?xml version="1.0" encoding="utf-8"?>
<formControlPr xmlns="http://schemas.microsoft.com/office/spreadsheetml/2009/9/main" objectType="CheckBox" fmlaLink="Annexes!$M$46" lockText="1" noThreeD="1"/>
</file>

<file path=xl/ctrlProps/ctrlProp28.xml><?xml version="1.0" encoding="utf-8"?>
<formControlPr xmlns="http://schemas.microsoft.com/office/spreadsheetml/2009/9/main" objectType="CheckBox" fmlaLink="Annexes!$M$47" lockText="1" noThreeD="1"/>
</file>

<file path=xl/ctrlProps/ctrlProp29.xml><?xml version="1.0" encoding="utf-8"?>
<formControlPr xmlns="http://schemas.microsoft.com/office/spreadsheetml/2009/9/main" objectType="CheckBox" fmlaLink="Annexes!$M$45" lockText="1" noThreeD="1"/>
</file>

<file path=xl/ctrlProps/ctrlProp3.xml><?xml version="1.0" encoding="utf-8"?>
<formControlPr xmlns="http://schemas.microsoft.com/office/spreadsheetml/2009/9/main" objectType="CheckBox" fmlaLink="Annexes!$M$9" lockText="1" noThreeD="1"/>
</file>

<file path=xl/ctrlProps/ctrlProp30.xml><?xml version="1.0" encoding="utf-8"?>
<formControlPr xmlns="http://schemas.microsoft.com/office/spreadsheetml/2009/9/main" objectType="Drop" dropStyle="combo" dx="16" fmlaLink="Annexes!$V$6" fmlaRange="Annexes!$T$5:$T$14" noThreeD="1" sel="1" val="0"/>
</file>

<file path=xl/ctrlProps/ctrlProp4.xml><?xml version="1.0" encoding="utf-8"?>
<formControlPr xmlns="http://schemas.microsoft.com/office/spreadsheetml/2009/9/main" objectType="CheckBox" fmlaLink="Annexes!$M$13" lockText="1" noThreeD="1"/>
</file>

<file path=xl/ctrlProps/ctrlProp5.xml><?xml version="1.0" encoding="utf-8"?>
<formControlPr xmlns="http://schemas.microsoft.com/office/spreadsheetml/2009/9/main" objectType="Drop" dropStyle="combo" dx="16" fmlaLink="Annexes!$M$4" fmlaRange="Annexes!$I$4:$I$10" noThreeD="1" sel="1" val="0"/>
</file>

<file path=xl/ctrlProps/ctrlProp6.xml><?xml version="1.0" encoding="utf-8"?>
<formControlPr xmlns="http://schemas.microsoft.com/office/spreadsheetml/2009/9/main" objectType="Drop" dropStyle="combo" dx="16" fmlaLink="Annexes!$M$6" fmlaRange="Annexes!$J$4:$J$35" noThreeD="1" sel="1" val="0"/>
</file>

<file path=xl/ctrlProps/ctrlProp7.xml><?xml version="1.0" encoding="utf-8"?>
<formControlPr xmlns="http://schemas.microsoft.com/office/spreadsheetml/2009/9/main" objectType="CheckBox" fmlaLink="Annexes!$M$11" lockText="1" noThreeD="1"/>
</file>

<file path=xl/ctrlProps/ctrlProp8.xml><?xml version="1.0" encoding="utf-8"?>
<formControlPr xmlns="http://schemas.microsoft.com/office/spreadsheetml/2009/9/main" objectType="CheckBox" fmlaLink="Annexes!$M$15" lockText="1" noThreeD="1"/>
</file>

<file path=xl/ctrlProps/ctrlProp9.xml><?xml version="1.0" encoding="utf-8"?>
<formControlPr xmlns="http://schemas.microsoft.com/office/spreadsheetml/2009/9/main" objectType="CheckBox" fmlaLink="Annexes!$M$17"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arcolib.fr/" TargetMode="Externa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https://www.arcolib.fr/" TargetMode="External"/><Relationship Id="rId4" Type="http://schemas.openxmlformats.org/officeDocument/2006/relationships/hyperlink" Target="https://www.impots.gouv.fr/portail/files/media/cabcom/covid19/fonds_soutien_pas_a_pas_tpe_v8.pdf"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rcolib.fr/"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rcolib.fr/"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14</xdr:row>
          <xdr:rowOff>0</xdr:rowOff>
        </xdr:from>
        <xdr:to>
          <xdr:col>15</xdr:col>
          <xdr:colOff>666750</xdr:colOff>
          <xdr:row>15</xdr:row>
          <xdr:rowOff>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xdr:row>
          <xdr:rowOff>0</xdr:rowOff>
        </xdr:from>
        <xdr:to>
          <xdr:col>15</xdr:col>
          <xdr:colOff>676275</xdr:colOff>
          <xdr:row>17</xdr:row>
          <xdr:rowOff>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0</xdr:rowOff>
        </xdr:from>
        <xdr:to>
          <xdr:col>9</xdr:col>
          <xdr:colOff>542925</xdr:colOff>
          <xdr:row>34</xdr:row>
          <xdr:rowOff>0</xdr:rowOff>
        </xdr:to>
        <xdr:sp macro="" textlink="">
          <xdr:nvSpPr>
            <xdr:cNvPr id="2054" name="Check Box 6" descr="Interdiction d'accueil du public (du ... au ...)"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9525</xdr:rowOff>
        </xdr:from>
        <xdr:to>
          <xdr:col>9</xdr:col>
          <xdr:colOff>542925</xdr:colOff>
          <xdr:row>31</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36</xdr:row>
          <xdr:rowOff>180975</xdr:rowOff>
        </xdr:from>
        <xdr:to>
          <xdr:col>12</xdr:col>
          <xdr:colOff>800100</xdr:colOff>
          <xdr:row>38</xdr:row>
          <xdr:rowOff>9525</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323850</xdr:colOff>
          <xdr:row>37</xdr:row>
          <xdr:rowOff>9525</xdr:rowOff>
        </xdr:from>
        <xdr:to>
          <xdr:col>15</xdr:col>
          <xdr:colOff>790575</xdr:colOff>
          <xdr:row>38</xdr:row>
          <xdr:rowOff>9525</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46</xdr:row>
          <xdr:rowOff>9525</xdr:rowOff>
        </xdr:from>
        <xdr:to>
          <xdr:col>9</xdr:col>
          <xdr:colOff>571500</xdr:colOff>
          <xdr:row>46</xdr:row>
          <xdr:rowOff>180975</xdr:rowOff>
        </xdr:to>
        <xdr:sp macro="" textlink="">
          <xdr:nvSpPr>
            <xdr:cNvPr id="2058" name="Check Box 10" descr="Interdiction d'accueil du public (du ... au ...)"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76200</xdr:colOff>
      <xdr:row>1</xdr:row>
      <xdr:rowOff>38100</xdr:rowOff>
    </xdr:from>
    <xdr:to>
      <xdr:col>6</xdr:col>
      <xdr:colOff>219075</xdr:colOff>
      <xdr:row>6</xdr:row>
      <xdr:rowOff>166620</xdr:rowOff>
    </xdr:to>
    <xdr:pic>
      <xdr:nvPicPr>
        <xdr:cNvPr id="11" name="Image 10">
          <a:hlinkClick xmlns:r="http://schemas.openxmlformats.org/officeDocument/2006/relationships" r:id="rId1"/>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a:stretch>
          <a:fillRect/>
        </a:stretch>
      </xdr:blipFill>
      <xdr:spPr>
        <a:xfrm>
          <a:off x="685800" y="238125"/>
          <a:ext cx="2257425" cy="1081020"/>
        </a:xfrm>
        <a:prstGeom prst="rect">
          <a:avLst/>
        </a:prstGeom>
      </xdr:spPr>
    </xdr:pic>
    <xdr:clientData/>
  </xdr:twoCellAnchor>
  <xdr:twoCellAnchor editAs="oneCell">
    <xdr:from>
      <xdr:col>23</xdr:col>
      <xdr:colOff>161925</xdr:colOff>
      <xdr:row>29</xdr:row>
      <xdr:rowOff>142875</xdr:rowOff>
    </xdr:from>
    <xdr:to>
      <xdr:col>29</xdr:col>
      <xdr:colOff>294775</xdr:colOff>
      <xdr:row>80</xdr:row>
      <xdr:rowOff>103686</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3"/>
        <a:stretch>
          <a:fillRect/>
        </a:stretch>
      </xdr:blipFill>
      <xdr:spPr>
        <a:xfrm>
          <a:off x="13782675" y="4524375"/>
          <a:ext cx="4000000" cy="8714286"/>
        </a:xfrm>
        <a:prstGeom prst="rect">
          <a:avLst/>
        </a:prstGeom>
      </xdr:spPr>
    </xdr:pic>
    <xdr:clientData/>
  </xdr:twoCellAnchor>
  <xdr:twoCellAnchor>
    <xdr:from>
      <xdr:col>20</xdr:col>
      <xdr:colOff>685801</xdr:colOff>
      <xdr:row>31</xdr:row>
      <xdr:rowOff>57149</xdr:rowOff>
    </xdr:from>
    <xdr:to>
      <xdr:col>25</xdr:col>
      <xdr:colOff>238126</xdr:colOff>
      <xdr:row>41</xdr:row>
      <xdr:rowOff>28573</xdr:rowOff>
    </xdr:to>
    <xdr:sp macro="" textlink="">
      <xdr:nvSpPr>
        <xdr:cNvPr id="16" name="Bulle ronde 15">
          <a:extLst>
            <a:ext uri="{FF2B5EF4-FFF2-40B4-BE49-F238E27FC236}">
              <a16:creationId xmlns:a16="http://schemas.microsoft.com/office/drawing/2014/main" id="{00000000-0008-0000-0000-000010000000}"/>
            </a:ext>
          </a:extLst>
        </xdr:cNvPr>
        <xdr:cNvSpPr/>
      </xdr:nvSpPr>
      <xdr:spPr>
        <a:xfrm>
          <a:off x="12458701" y="4638674"/>
          <a:ext cx="2628900" cy="914399"/>
        </a:xfrm>
        <a:prstGeom prst="wedgeEllipseCallout">
          <a:avLst>
            <a:gd name="adj1" fmla="val 40747"/>
            <a:gd name="adj2" fmla="val 67233"/>
          </a:avLst>
        </a:prstGeom>
        <a:solidFill>
          <a:srgbClr val="0D417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1">
              <a:solidFill>
                <a:schemeClr val="lt1"/>
              </a:solidFill>
              <a:effectLst/>
              <a:latin typeface="+mn-lt"/>
              <a:ea typeface="+mn-ea"/>
              <a:cs typeface="+mn-cs"/>
            </a:rPr>
            <a:t>Une question ? documentation@arcolib.fr</a:t>
          </a:r>
          <a:endParaRPr lang="fr-FR" sz="1200">
            <a:effectLst/>
          </a:endParaRPr>
        </a:p>
      </xdr:txBody>
    </xdr:sp>
    <xdr:clientData/>
  </xdr:twoCellAnchor>
  <xdr:twoCellAnchor>
    <xdr:from>
      <xdr:col>1</xdr:col>
      <xdr:colOff>304799</xdr:colOff>
      <xdr:row>22</xdr:row>
      <xdr:rowOff>142876</xdr:rowOff>
    </xdr:from>
    <xdr:to>
      <xdr:col>1</xdr:col>
      <xdr:colOff>419101</xdr:colOff>
      <xdr:row>87</xdr:row>
      <xdr:rowOff>57150</xdr:rowOff>
    </xdr:to>
    <xdr:sp macro="" textlink="">
      <xdr:nvSpPr>
        <xdr:cNvPr id="2" name="Accolade ouvrante 1">
          <a:extLst>
            <a:ext uri="{FF2B5EF4-FFF2-40B4-BE49-F238E27FC236}">
              <a16:creationId xmlns:a16="http://schemas.microsoft.com/office/drawing/2014/main" id="{00000000-0008-0000-0000-000002000000}"/>
            </a:ext>
          </a:extLst>
        </xdr:cNvPr>
        <xdr:cNvSpPr/>
      </xdr:nvSpPr>
      <xdr:spPr>
        <a:xfrm>
          <a:off x="914399" y="4514851"/>
          <a:ext cx="114302" cy="9124949"/>
        </a:xfrm>
        <a:prstGeom prst="leftBrace">
          <a:avLst>
            <a:gd name="adj1" fmla="val 33334"/>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editAs="oneCell">
    <xdr:from>
      <xdr:col>0</xdr:col>
      <xdr:colOff>0</xdr:colOff>
      <xdr:row>51</xdr:row>
      <xdr:rowOff>85725</xdr:rowOff>
    </xdr:from>
    <xdr:to>
      <xdr:col>1</xdr:col>
      <xdr:colOff>457200</xdr:colOff>
      <xdr:row>54</xdr:row>
      <xdr:rowOff>47625</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9286875"/>
          <a:ext cx="1066800" cy="5334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19050</xdr:colOff>
          <xdr:row>48</xdr:row>
          <xdr:rowOff>9525</xdr:rowOff>
        </xdr:from>
        <xdr:to>
          <xdr:col>9</xdr:col>
          <xdr:colOff>571500</xdr:colOff>
          <xdr:row>48</xdr:row>
          <xdr:rowOff>180975</xdr:rowOff>
        </xdr:to>
        <xdr:sp macro="" textlink="">
          <xdr:nvSpPr>
            <xdr:cNvPr id="2059" name="Check Box 11" descr="Interdiction d'accueil du public (du ... au ...)"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9525</xdr:rowOff>
        </xdr:from>
        <xdr:to>
          <xdr:col>10</xdr:col>
          <xdr:colOff>47625</xdr:colOff>
          <xdr:row>24</xdr:row>
          <xdr:rowOff>9525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51</xdr:row>
          <xdr:rowOff>9525</xdr:rowOff>
        </xdr:from>
        <xdr:to>
          <xdr:col>9</xdr:col>
          <xdr:colOff>571500</xdr:colOff>
          <xdr:row>51</xdr:row>
          <xdr:rowOff>180975</xdr:rowOff>
        </xdr:to>
        <xdr:sp macro="" textlink="">
          <xdr:nvSpPr>
            <xdr:cNvPr id="2063" name="Check Box 15" descr="Interdiction d'accueil du public (du ... au ...)"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53</xdr:row>
          <xdr:rowOff>9525</xdr:rowOff>
        </xdr:from>
        <xdr:to>
          <xdr:col>9</xdr:col>
          <xdr:colOff>571500</xdr:colOff>
          <xdr:row>53</xdr:row>
          <xdr:rowOff>180975</xdr:rowOff>
        </xdr:to>
        <xdr:sp macro="" textlink="">
          <xdr:nvSpPr>
            <xdr:cNvPr id="2064" name="Check Box 16" descr="Interdiction d'accueil du public (du ... au ...)"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9525</xdr:rowOff>
        </xdr:from>
        <xdr:to>
          <xdr:col>10</xdr:col>
          <xdr:colOff>47625</xdr:colOff>
          <xdr:row>25</xdr:row>
          <xdr:rowOff>209550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55</xdr:row>
          <xdr:rowOff>9525</xdr:rowOff>
        </xdr:from>
        <xdr:to>
          <xdr:col>9</xdr:col>
          <xdr:colOff>571500</xdr:colOff>
          <xdr:row>55</xdr:row>
          <xdr:rowOff>180975</xdr:rowOff>
        </xdr:to>
        <xdr:sp macro="" textlink="">
          <xdr:nvSpPr>
            <xdr:cNvPr id="2066" name="Check Box 18" descr="Interdiction d'accueil du public (du ... au ...)"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57</xdr:row>
          <xdr:rowOff>9525</xdr:rowOff>
        </xdr:from>
        <xdr:to>
          <xdr:col>9</xdr:col>
          <xdr:colOff>571500</xdr:colOff>
          <xdr:row>57</xdr:row>
          <xdr:rowOff>180975</xdr:rowOff>
        </xdr:to>
        <xdr:sp macro="" textlink="">
          <xdr:nvSpPr>
            <xdr:cNvPr id="2068" name="Check Box 20" descr="Interdiction d'accueil du public (du ... au ...)"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638175</xdr:colOff>
      <xdr:row>45</xdr:row>
      <xdr:rowOff>38100</xdr:rowOff>
    </xdr:from>
    <xdr:to>
      <xdr:col>22</xdr:col>
      <xdr:colOff>447675</xdr:colOff>
      <xdr:row>54</xdr:row>
      <xdr:rowOff>114300</xdr:rowOff>
    </xdr:to>
    <xdr:sp macro="" textlink="">
      <xdr:nvSpPr>
        <xdr:cNvPr id="3" name="Ellipse 2"/>
        <xdr:cNvSpPr/>
      </xdr:nvSpPr>
      <xdr:spPr>
        <a:xfrm>
          <a:off x="11849100" y="7600950"/>
          <a:ext cx="2409825" cy="1885950"/>
        </a:xfrm>
        <a:prstGeom prst="ellipse">
          <a:avLst/>
        </a:prstGeom>
        <a:solidFill>
          <a:srgbClr val="0D4174"/>
        </a:solidFill>
        <a:ln>
          <a:solidFill>
            <a:srgbClr val="0D417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1" i="0">
              <a:solidFill>
                <a:schemeClr val="lt1"/>
              </a:solidFill>
              <a:effectLst/>
              <a:latin typeface="+mn-lt"/>
              <a:ea typeface="+mn-ea"/>
              <a:cs typeface="+mn-cs"/>
            </a:rPr>
            <a:t>Calcul</a:t>
          </a:r>
          <a:r>
            <a:rPr lang="fr-FR" sz="1100" b="1" i="0" baseline="0">
              <a:solidFill>
                <a:schemeClr val="lt1"/>
              </a:solidFill>
              <a:effectLst/>
              <a:latin typeface="+mn-lt"/>
              <a:ea typeface="+mn-ea"/>
              <a:cs typeface="+mn-cs"/>
            </a:rPr>
            <a:t> </a:t>
          </a:r>
          <a:r>
            <a:rPr lang="fr-FR" sz="1100" b="1" i="0">
              <a:solidFill>
                <a:schemeClr val="lt1"/>
              </a:solidFill>
              <a:effectLst/>
              <a:latin typeface="+mn-lt"/>
              <a:ea typeface="+mn-ea"/>
              <a:cs typeface="+mn-cs"/>
            </a:rPr>
            <a:t>de l'aide complémentaire du Fonds de Solidarité dite "Coûts fixes"</a:t>
          </a:r>
          <a:r>
            <a:rPr lang="fr-FR" sz="1100" b="1" i="0" baseline="0">
              <a:solidFill>
                <a:schemeClr val="lt1"/>
              </a:solidFill>
              <a:effectLst/>
              <a:latin typeface="+mn-lt"/>
              <a:ea typeface="+mn-ea"/>
              <a:cs typeface="+mn-cs"/>
            </a:rPr>
            <a:t> dans le dernier onglet de ce fichier</a:t>
          </a:r>
          <a:endParaRPr lang="fr-FR" sz="1100">
            <a:solidFill>
              <a:srgbClr val="0D4174"/>
            </a:solidFill>
          </a:endParaRPr>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59</xdr:row>
          <xdr:rowOff>9525</xdr:rowOff>
        </xdr:from>
        <xdr:to>
          <xdr:col>9</xdr:col>
          <xdr:colOff>571500</xdr:colOff>
          <xdr:row>59</xdr:row>
          <xdr:rowOff>180975</xdr:rowOff>
        </xdr:to>
        <xdr:sp macro="" textlink="">
          <xdr:nvSpPr>
            <xdr:cNvPr id="2069" name="Check Box 21" descr="Interdiction d'accueil du public (du ... au ...)"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61</xdr:row>
          <xdr:rowOff>9525</xdr:rowOff>
        </xdr:from>
        <xdr:to>
          <xdr:col>9</xdr:col>
          <xdr:colOff>571500</xdr:colOff>
          <xdr:row>61</xdr:row>
          <xdr:rowOff>180975</xdr:rowOff>
        </xdr:to>
        <xdr:sp macro="" textlink="">
          <xdr:nvSpPr>
            <xdr:cNvPr id="2070" name="Check Box 22" descr="Interdiction d'accueil du public (du ... au ...)"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9525</xdr:rowOff>
        </xdr:from>
        <xdr:to>
          <xdr:col>10</xdr:col>
          <xdr:colOff>47625</xdr:colOff>
          <xdr:row>28</xdr:row>
          <xdr:rowOff>9525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63</xdr:row>
          <xdr:rowOff>9525</xdr:rowOff>
        </xdr:from>
        <xdr:to>
          <xdr:col>9</xdr:col>
          <xdr:colOff>571500</xdr:colOff>
          <xdr:row>63</xdr:row>
          <xdr:rowOff>180975</xdr:rowOff>
        </xdr:to>
        <xdr:sp macro="" textlink="">
          <xdr:nvSpPr>
            <xdr:cNvPr id="2072" name="Check Box 24" descr="Interdiction d'accueil du public (du ... au ...)"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65</xdr:row>
          <xdr:rowOff>9525</xdr:rowOff>
        </xdr:from>
        <xdr:to>
          <xdr:col>9</xdr:col>
          <xdr:colOff>571500</xdr:colOff>
          <xdr:row>65</xdr:row>
          <xdr:rowOff>180975</xdr:rowOff>
        </xdr:to>
        <xdr:sp macro="" textlink="">
          <xdr:nvSpPr>
            <xdr:cNvPr id="2073" name="Check Box 25" descr="Interdiction d'accueil du public (du ... au ...)"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67</xdr:row>
          <xdr:rowOff>9525</xdr:rowOff>
        </xdr:from>
        <xdr:to>
          <xdr:col>9</xdr:col>
          <xdr:colOff>571500</xdr:colOff>
          <xdr:row>67</xdr:row>
          <xdr:rowOff>180975</xdr:rowOff>
        </xdr:to>
        <xdr:sp macro="" textlink="">
          <xdr:nvSpPr>
            <xdr:cNvPr id="2074" name="Check Box 26" descr="Interdiction d'accueil du public (du ... au ...)"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9525</xdr:rowOff>
        </xdr:from>
        <xdr:to>
          <xdr:col>9</xdr:col>
          <xdr:colOff>571500</xdr:colOff>
          <xdr:row>71</xdr:row>
          <xdr:rowOff>180975</xdr:rowOff>
        </xdr:to>
        <xdr:sp macro="" textlink="">
          <xdr:nvSpPr>
            <xdr:cNvPr id="2075" name="Check Box 27" descr="Interdiction d'accueil du public (du ... au ...)"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69</xdr:row>
          <xdr:rowOff>9525</xdr:rowOff>
        </xdr:from>
        <xdr:to>
          <xdr:col>9</xdr:col>
          <xdr:colOff>571500</xdr:colOff>
          <xdr:row>69</xdr:row>
          <xdr:rowOff>180975</xdr:rowOff>
        </xdr:to>
        <xdr:sp macro="" textlink="">
          <xdr:nvSpPr>
            <xdr:cNvPr id="2077" name="Check Box 29" descr="Interdiction d'accueil du public (du ... au ...)"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73</xdr:row>
          <xdr:rowOff>9525</xdr:rowOff>
        </xdr:from>
        <xdr:to>
          <xdr:col>9</xdr:col>
          <xdr:colOff>571500</xdr:colOff>
          <xdr:row>73</xdr:row>
          <xdr:rowOff>180975</xdr:rowOff>
        </xdr:to>
        <xdr:sp macro="" textlink="">
          <xdr:nvSpPr>
            <xdr:cNvPr id="2078" name="Check Box 30" descr="Interdiction d'accueil du public (du ... au ...)"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75</xdr:row>
          <xdr:rowOff>9525</xdr:rowOff>
        </xdr:from>
        <xdr:to>
          <xdr:col>9</xdr:col>
          <xdr:colOff>571500</xdr:colOff>
          <xdr:row>75</xdr:row>
          <xdr:rowOff>180975</xdr:rowOff>
        </xdr:to>
        <xdr:sp macro="" textlink="">
          <xdr:nvSpPr>
            <xdr:cNvPr id="2080" name="Check Box 32" descr="Interdiction d'accueil du public (du ... au ...)"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9525</xdr:rowOff>
        </xdr:from>
        <xdr:to>
          <xdr:col>9</xdr:col>
          <xdr:colOff>571500</xdr:colOff>
          <xdr:row>79</xdr:row>
          <xdr:rowOff>180975</xdr:rowOff>
        </xdr:to>
        <xdr:sp macro="" textlink="">
          <xdr:nvSpPr>
            <xdr:cNvPr id="2081" name="Check Box 33" descr="Interdiction d'accueil du public (du ... au ...)"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77</xdr:row>
          <xdr:rowOff>9525</xdr:rowOff>
        </xdr:from>
        <xdr:to>
          <xdr:col>9</xdr:col>
          <xdr:colOff>571500</xdr:colOff>
          <xdr:row>77</xdr:row>
          <xdr:rowOff>180975</xdr:rowOff>
        </xdr:to>
        <xdr:sp macro="" textlink="">
          <xdr:nvSpPr>
            <xdr:cNvPr id="2082" name="Check Box 34" descr="Interdiction d'accueil du public (du ... au ...)"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9525</xdr:rowOff>
        </xdr:from>
        <xdr:to>
          <xdr:col>9</xdr:col>
          <xdr:colOff>571500</xdr:colOff>
          <xdr:row>83</xdr:row>
          <xdr:rowOff>180975</xdr:rowOff>
        </xdr:to>
        <xdr:sp macro="" textlink="">
          <xdr:nvSpPr>
            <xdr:cNvPr id="2083" name="Check Box 35" descr="Interdiction d'accueil du public (du ... au ...)"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85</xdr:row>
          <xdr:rowOff>9525</xdr:rowOff>
        </xdr:from>
        <xdr:to>
          <xdr:col>9</xdr:col>
          <xdr:colOff>571500</xdr:colOff>
          <xdr:row>85</xdr:row>
          <xdr:rowOff>180975</xdr:rowOff>
        </xdr:to>
        <xdr:sp macro="" textlink="">
          <xdr:nvSpPr>
            <xdr:cNvPr id="2084" name="Check Box 36" descr="Interdiction d'accueil du public (du ... au ...)"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81</xdr:row>
          <xdr:rowOff>9525</xdr:rowOff>
        </xdr:from>
        <xdr:to>
          <xdr:col>9</xdr:col>
          <xdr:colOff>571500</xdr:colOff>
          <xdr:row>81</xdr:row>
          <xdr:rowOff>180975</xdr:rowOff>
        </xdr:to>
        <xdr:sp macro="" textlink="">
          <xdr:nvSpPr>
            <xdr:cNvPr id="2086" name="Check Box 38" descr="Interdiction d'accueil du public (du ... au ...)"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314325</xdr:colOff>
      <xdr:row>0</xdr:row>
      <xdr:rowOff>95250</xdr:rowOff>
    </xdr:from>
    <xdr:to>
      <xdr:col>4</xdr:col>
      <xdr:colOff>381000</xdr:colOff>
      <xdr:row>6</xdr:row>
      <xdr:rowOff>33270</xdr:rowOff>
    </xdr:to>
    <xdr:pic>
      <xdr:nvPicPr>
        <xdr:cNvPr id="2" name="Imag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14325" y="95250"/>
          <a:ext cx="2257425" cy="1081020"/>
        </a:xfrm>
        <a:prstGeom prst="rect">
          <a:avLst/>
        </a:prstGeom>
      </xdr:spPr>
    </xdr:pic>
    <xdr:clientData/>
  </xdr:twoCellAnchor>
  <xdr:twoCellAnchor editAs="oneCell">
    <xdr:from>
      <xdr:col>31</xdr:col>
      <xdr:colOff>114300</xdr:colOff>
      <xdr:row>1</xdr:row>
      <xdr:rowOff>28575</xdr:rowOff>
    </xdr:from>
    <xdr:to>
      <xdr:col>38</xdr:col>
      <xdr:colOff>256490</xdr:colOff>
      <xdr:row>87</xdr:row>
      <xdr:rowOff>113219</xdr:rowOff>
    </xdr:to>
    <xdr:pic>
      <xdr:nvPicPr>
        <xdr:cNvPr id="6" name="Image 5"/>
        <xdr:cNvPicPr>
          <a:picLocks noChangeAspect="1"/>
        </xdr:cNvPicPr>
      </xdr:nvPicPr>
      <xdr:blipFill>
        <a:blip xmlns:r="http://schemas.openxmlformats.org/officeDocument/2006/relationships" r:embed="rId3"/>
        <a:stretch>
          <a:fillRect/>
        </a:stretch>
      </xdr:blipFill>
      <xdr:spPr>
        <a:xfrm>
          <a:off x="19059525" y="219075"/>
          <a:ext cx="5476190" cy="8647619"/>
        </a:xfrm>
        <a:prstGeom prst="rect">
          <a:avLst/>
        </a:prstGeom>
      </xdr:spPr>
    </xdr:pic>
    <xdr:clientData/>
  </xdr:twoCellAnchor>
  <xdr:twoCellAnchor>
    <xdr:from>
      <xdr:col>16</xdr:col>
      <xdr:colOff>466724</xdr:colOff>
      <xdr:row>3</xdr:row>
      <xdr:rowOff>28575</xdr:rowOff>
    </xdr:from>
    <xdr:to>
      <xdr:col>32</xdr:col>
      <xdr:colOff>200024</xdr:colOff>
      <xdr:row>12</xdr:row>
      <xdr:rowOff>9524</xdr:rowOff>
    </xdr:to>
    <xdr:sp macro="" textlink="">
      <xdr:nvSpPr>
        <xdr:cNvPr id="8" name="Bulle ronde 7">
          <a:hlinkClick xmlns:r="http://schemas.openxmlformats.org/officeDocument/2006/relationships" r:id="rId4"/>
          <a:extLst>
            <a:ext uri="{FF2B5EF4-FFF2-40B4-BE49-F238E27FC236}">
              <a16:creationId xmlns:a16="http://schemas.microsoft.com/office/drawing/2014/main" id="{00000000-0008-0000-0000-000010000000}"/>
            </a:ext>
          </a:extLst>
        </xdr:cNvPr>
        <xdr:cNvSpPr/>
      </xdr:nvSpPr>
      <xdr:spPr>
        <a:xfrm>
          <a:off x="10363199" y="600075"/>
          <a:ext cx="9544050" cy="1714499"/>
        </a:xfrm>
        <a:prstGeom prst="wedgeEllipseCallout">
          <a:avLst>
            <a:gd name="adj1" fmla="val 47709"/>
            <a:gd name="adj2" fmla="val 51909"/>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1">
              <a:solidFill>
                <a:schemeClr val="lt1"/>
              </a:solidFill>
              <a:effectLst/>
              <a:latin typeface="+mn-lt"/>
              <a:ea typeface="+mn-ea"/>
              <a:cs typeface="+mn-cs"/>
            </a:rPr>
            <a:t>Pour demander effectivement l'aide, nous vous laissons le soin de vous diriger vers la</a:t>
          </a:r>
          <a:r>
            <a:rPr lang="fr-FR" sz="1100" b="1" baseline="0">
              <a:solidFill>
                <a:schemeClr val="lt1"/>
              </a:solidFill>
              <a:effectLst/>
              <a:latin typeface="+mn-lt"/>
              <a:ea typeface="+mn-ea"/>
              <a:cs typeface="+mn-cs"/>
            </a:rPr>
            <a:t> procédure </a:t>
          </a:r>
          <a:r>
            <a:rPr lang="fr-FR" sz="1100" b="1">
              <a:solidFill>
                <a:schemeClr val="lt1"/>
              </a:solidFill>
              <a:effectLst/>
              <a:latin typeface="+mn-lt"/>
              <a:ea typeface="+mn-ea"/>
              <a:cs typeface="+mn-cs"/>
            </a:rPr>
            <a:t> en</a:t>
          </a:r>
          <a:r>
            <a:rPr lang="fr-FR" sz="1100" b="1" baseline="0">
              <a:solidFill>
                <a:schemeClr val="lt1"/>
              </a:solidFill>
              <a:effectLst/>
              <a:latin typeface="+mn-lt"/>
              <a:ea typeface="+mn-ea"/>
              <a:cs typeface="+mn-cs"/>
            </a:rPr>
            <a:t> cliquant ici</a:t>
          </a:r>
          <a:endParaRPr lang="fr-FR" sz="12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314325</xdr:colOff>
      <xdr:row>0</xdr:row>
      <xdr:rowOff>95250</xdr:rowOff>
    </xdr:from>
    <xdr:to>
      <xdr:col>4</xdr:col>
      <xdr:colOff>381000</xdr:colOff>
      <xdr:row>6</xdr:row>
      <xdr:rowOff>33270</xdr:rowOff>
    </xdr:to>
    <xdr:pic>
      <xdr:nvPicPr>
        <xdr:cNvPr id="2" name="Imag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314325" y="95250"/>
          <a:ext cx="2257425" cy="1081020"/>
        </a:xfrm>
        <a:prstGeom prst="rect">
          <a:avLst/>
        </a:prstGeom>
      </xdr:spPr>
    </xdr:pic>
    <xdr:clientData/>
  </xdr:twoCellAnchor>
  <xdr:twoCellAnchor editAs="oneCell">
    <xdr:from>
      <xdr:col>0</xdr:col>
      <xdr:colOff>314325</xdr:colOff>
      <xdr:row>0</xdr:row>
      <xdr:rowOff>95250</xdr:rowOff>
    </xdr:from>
    <xdr:to>
      <xdr:col>4</xdr:col>
      <xdr:colOff>381000</xdr:colOff>
      <xdr:row>6</xdr:row>
      <xdr:rowOff>33270</xdr:rowOff>
    </xdr:to>
    <xdr:pic>
      <xdr:nvPicPr>
        <xdr:cNvPr id="3" name="Image 2">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14325" y="95250"/>
          <a:ext cx="2257425" cy="1081020"/>
        </a:xfrm>
        <a:prstGeom prst="rect">
          <a:avLst/>
        </a:prstGeom>
      </xdr:spPr>
    </xdr:pic>
    <xdr:clientData/>
  </xdr:twoCellAnchor>
  <xdr:twoCellAnchor editAs="oneCell">
    <xdr:from>
      <xdr:col>0</xdr:col>
      <xdr:colOff>314325</xdr:colOff>
      <xdr:row>0</xdr:row>
      <xdr:rowOff>95250</xdr:rowOff>
    </xdr:from>
    <xdr:to>
      <xdr:col>4</xdr:col>
      <xdr:colOff>381000</xdr:colOff>
      <xdr:row>6</xdr:row>
      <xdr:rowOff>33270</xdr:rowOff>
    </xdr:to>
    <xdr:pic>
      <xdr:nvPicPr>
        <xdr:cNvPr id="6" name="Image 5">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14325" y="95250"/>
          <a:ext cx="2257425" cy="1081020"/>
        </a:xfrm>
        <a:prstGeom prst="rect">
          <a:avLst/>
        </a:prstGeom>
      </xdr:spPr>
    </xdr:pic>
    <xdr:clientData/>
  </xdr:twoCellAnchor>
  <xdr:twoCellAnchor editAs="oneCell">
    <xdr:from>
      <xdr:col>0</xdr:col>
      <xdr:colOff>314325</xdr:colOff>
      <xdr:row>0</xdr:row>
      <xdr:rowOff>95250</xdr:rowOff>
    </xdr:from>
    <xdr:to>
      <xdr:col>4</xdr:col>
      <xdr:colOff>381000</xdr:colOff>
      <xdr:row>6</xdr:row>
      <xdr:rowOff>33270</xdr:rowOff>
    </xdr:to>
    <xdr:pic>
      <xdr:nvPicPr>
        <xdr:cNvPr id="5" name="Image 4">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14325" y="95250"/>
          <a:ext cx="2257425" cy="1081020"/>
        </a:xfrm>
        <a:prstGeom prst="rect">
          <a:avLst/>
        </a:prstGeom>
      </xdr:spPr>
    </xdr:pic>
    <xdr:clientData/>
  </xdr:twoCellAnchor>
  <xdr:twoCellAnchor editAs="oneCell">
    <xdr:from>
      <xdr:col>0</xdr:col>
      <xdr:colOff>314325</xdr:colOff>
      <xdr:row>0</xdr:row>
      <xdr:rowOff>95250</xdr:rowOff>
    </xdr:from>
    <xdr:to>
      <xdr:col>4</xdr:col>
      <xdr:colOff>381000</xdr:colOff>
      <xdr:row>6</xdr:row>
      <xdr:rowOff>33270</xdr:rowOff>
    </xdr:to>
    <xdr:pic>
      <xdr:nvPicPr>
        <xdr:cNvPr id="9" name="Image 8">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14325" y="95250"/>
          <a:ext cx="2257425" cy="1081020"/>
        </a:xfrm>
        <a:prstGeom prst="rect">
          <a:avLst/>
        </a:prstGeom>
      </xdr:spPr>
    </xdr:pic>
    <xdr:clientData/>
  </xdr:twoCellAnchor>
  <xdr:twoCellAnchor editAs="oneCell">
    <xdr:from>
      <xdr:col>0</xdr:col>
      <xdr:colOff>314325</xdr:colOff>
      <xdr:row>0</xdr:row>
      <xdr:rowOff>95250</xdr:rowOff>
    </xdr:from>
    <xdr:to>
      <xdr:col>4</xdr:col>
      <xdr:colOff>381000</xdr:colOff>
      <xdr:row>6</xdr:row>
      <xdr:rowOff>33270</xdr:rowOff>
    </xdr:to>
    <xdr:pic>
      <xdr:nvPicPr>
        <xdr:cNvPr id="12" name="Image 1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14325" y="95250"/>
          <a:ext cx="2257425" cy="1081020"/>
        </a:xfrm>
        <a:prstGeom prst="rect">
          <a:avLst/>
        </a:prstGeom>
      </xdr:spPr>
    </xdr:pic>
    <xdr:clientData/>
  </xdr:twoCellAnchor>
  <xdr:twoCellAnchor editAs="oneCell">
    <xdr:from>
      <xdr:col>0</xdr:col>
      <xdr:colOff>314325</xdr:colOff>
      <xdr:row>0</xdr:row>
      <xdr:rowOff>95250</xdr:rowOff>
    </xdr:from>
    <xdr:to>
      <xdr:col>4</xdr:col>
      <xdr:colOff>381000</xdr:colOff>
      <xdr:row>6</xdr:row>
      <xdr:rowOff>33270</xdr:rowOff>
    </xdr:to>
    <xdr:pic>
      <xdr:nvPicPr>
        <xdr:cNvPr id="8" name="Image 7">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14325" y="95250"/>
          <a:ext cx="2257425" cy="1081020"/>
        </a:xfrm>
        <a:prstGeom prst="rect">
          <a:avLst/>
        </a:prstGeom>
      </xdr:spPr>
    </xdr:pic>
    <xdr:clientData/>
  </xdr:twoCellAnchor>
  <xdr:twoCellAnchor editAs="oneCell">
    <xdr:from>
      <xdr:col>0</xdr:col>
      <xdr:colOff>314325</xdr:colOff>
      <xdr:row>0</xdr:row>
      <xdr:rowOff>95250</xdr:rowOff>
    </xdr:from>
    <xdr:to>
      <xdr:col>4</xdr:col>
      <xdr:colOff>381000</xdr:colOff>
      <xdr:row>6</xdr:row>
      <xdr:rowOff>33270</xdr:rowOff>
    </xdr:to>
    <xdr:pic>
      <xdr:nvPicPr>
        <xdr:cNvPr id="10" name="Image 9">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14325" y="95250"/>
          <a:ext cx="2257425" cy="1081020"/>
        </a:xfrm>
        <a:prstGeom prst="rect">
          <a:avLst/>
        </a:prstGeom>
      </xdr:spPr>
    </xdr:pic>
    <xdr:clientData/>
  </xdr:twoCellAnchor>
  <xdr:twoCellAnchor editAs="oneCell">
    <xdr:from>
      <xdr:col>0</xdr:col>
      <xdr:colOff>314325</xdr:colOff>
      <xdr:row>0</xdr:row>
      <xdr:rowOff>95250</xdr:rowOff>
    </xdr:from>
    <xdr:to>
      <xdr:col>4</xdr:col>
      <xdr:colOff>381000</xdr:colOff>
      <xdr:row>6</xdr:row>
      <xdr:rowOff>33270</xdr:rowOff>
    </xdr:to>
    <xdr:pic>
      <xdr:nvPicPr>
        <xdr:cNvPr id="14" name="Image 13">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14325" y="95250"/>
          <a:ext cx="2257425" cy="1081020"/>
        </a:xfrm>
        <a:prstGeom prst="rect">
          <a:avLst/>
        </a:prstGeom>
      </xdr:spPr>
    </xdr:pic>
    <xdr:clientData/>
  </xdr:twoCellAnchor>
  <xdr:twoCellAnchor editAs="oneCell">
    <xdr:from>
      <xdr:col>0</xdr:col>
      <xdr:colOff>314325</xdr:colOff>
      <xdr:row>0</xdr:row>
      <xdr:rowOff>95250</xdr:rowOff>
    </xdr:from>
    <xdr:to>
      <xdr:col>4</xdr:col>
      <xdr:colOff>381000</xdr:colOff>
      <xdr:row>6</xdr:row>
      <xdr:rowOff>33270</xdr:rowOff>
    </xdr:to>
    <xdr:pic>
      <xdr:nvPicPr>
        <xdr:cNvPr id="11" name="Image 10">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14325" y="95250"/>
          <a:ext cx="2257425" cy="1081020"/>
        </a:xfrm>
        <a:prstGeom prst="rect">
          <a:avLst/>
        </a:prstGeom>
      </xdr:spPr>
    </xdr:pic>
    <xdr:clientData/>
  </xdr:twoCellAnchor>
  <xdr:twoCellAnchor editAs="oneCell">
    <xdr:from>
      <xdr:col>0</xdr:col>
      <xdr:colOff>314325</xdr:colOff>
      <xdr:row>0</xdr:row>
      <xdr:rowOff>95250</xdr:rowOff>
    </xdr:from>
    <xdr:to>
      <xdr:col>4</xdr:col>
      <xdr:colOff>381000</xdr:colOff>
      <xdr:row>6</xdr:row>
      <xdr:rowOff>33270</xdr:rowOff>
    </xdr:to>
    <xdr:pic>
      <xdr:nvPicPr>
        <xdr:cNvPr id="13" name="Image 12">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14325" y="95250"/>
          <a:ext cx="2257425" cy="1081020"/>
        </a:xfrm>
        <a:prstGeom prst="rect">
          <a:avLst/>
        </a:prstGeom>
      </xdr:spPr>
    </xdr:pic>
    <xdr:clientData/>
  </xdr:twoCellAnchor>
  <xdr:twoCellAnchor editAs="oneCell">
    <xdr:from>
      <xdr:col>0</xdr:col>
      <xdr:colOff>314325</xdr:colOff>
      <xdr:row>0</xdr:row>
      <xdr:rowOff>95250</xdr:rowOff>
    </xdr:from>
    <xdr:to>
      <xdr:col>4</xdr:col>
      <xdr:colOff>381000</xdr:colOff>
      <xdr:row>6</xdr:row>
      <xdr:rowOff>33270</xdr:rowOff>
    </xdr:to>
    <xdr:pic>
      <xdr:nvPicPr>
        <xdr:cNvPr id="17" name="Image 16">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14325" y="95250"/>
          <a:ext cx="2257425" cy="1081020"/>
        </a:xfrm>
        <a:prstGeom prst="rect">
          <a:avLst/>
        </a:prstGeom>
      </xdr:spPr>
    </xdr:pic>
    <xdr:clientData/>
  </xdr:twoCellAnchor>
  <xdr:twoCellAnchor editAs="oneCell">
    <xdr:from>
      <xdr:col>0</xdr:col>
      <xdr:colOff>314325</xdr:colOff>
      <xdr:row>0</xdr:row>
      <xdr:rowOff>95250</xdr:rowOff>
    </xdr:from>
    <xdr:to>
      <xdr:col>4</xdr:col>
      <xdr:colOff>381000</xdr:colOff>
      <xdr:row>6</xdr:row>
      <xdr:rowOff>33270</xdr:rowOff>
    </xdr:to>
    <xdr:pic>
      <xdr:nvPicPr>
        <xdr:cNvPr id="15" name="Image 14">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14325" y="95250"/>
          <a:ext cx="2257425" cy="1081020"/>
        </a:xfrm>
        <a:prstGeom prst="rect">
          <a:avLst/>
        </a:prstGeom>
      </xdr:spPr>
    </xdr:pic>
    <xdr:clientData/>
  </xdr:twoCellAnchor>
  <xdr:twoCellAnchor editAs="oneCell">
    <xdr:from>
      <xdr:col>0</xdr:col>
      <xdr:colOff>314325</xdr:colOff>
      <xdr:row>0</xdr:row>
      <xdr:rowOff>95250</xdr:rowOff>
    </xdr:from>
    <xdr:to>
      <xdr:col>4</xdr:col>
      <xdr:colOff>381000</xdr:colOff>
      <xdr:row>6</xdr:row>
      <xdr:rowOff>33270</xdr:rowOff>
    </xdr:to>
    <xdr:pic>
      <xdr:nvPicPr>
        <xdr:cNvPr id="19" name="Image 18">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14325" y="95250"/>
          <a:ext cx="2257425" cy="1081020"/>
        </a:xfrm>
        <a:prstGeom prst="rect">
          <a:avLst/>
        </a:prstGeom>
      </xdr:spPr>
    </xdr:pic>
    <xdr:clientData/>
  </xdr:twoCellAnchor>
  <xdr:twoCellAnchor editAs="oneCell">
    <xdr:from>
      <xdr:col>0</xdr:col>
      <xdr:colOff>314325</xdr:colOff>
      <xdr:row>0</xdr:row>
      <xdr:rowOff>95250</xdr:rowOff>
    </xdr:from>
    <xdr:to>
      <xdr:col>4</xdr:col>
      <xdr:colOff>381000</xdr:colOff>
      <xdr:row>6</xdr:row>
      <xdr:rowOff>33270</xdr:rowOff>
    </xdr:to>
    <xdr:pic>
      <xdr:nvPicPr>
        <xdr:cNvPr id="22" name="Image 2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14325" y="95250"/>
          <a:ext cx="2257425" cy="1081020"/>
        </a:xfrm>
        <a:prstGeom prst="rect">
          <a:avLst/>
        </a:prstGeom>
      </xdr:spPr>
    </xdr:pic>
    <xdr:clientData/>
  </xdr:twoCellAnchor>
  <xdr:twoCellAnchor editAs="oneCell">
    <xdr:from>
      <xdr:col>0</xdr:col>
      <xdr:colOff>314325</xdr:colOff>
      <xdr:row>0</xdr:row>
      <xdr:rowOff>95250</xdr:rowOff>
    </xdr:from>
    <xdr:to>
      <xdr:col>4</xdr:col>
      <xdr:colOff>381000</xdr:colOff>
      <xdr:row>6</xdr:row>
      <xdr:rowOff>33270</xdr:rowOff>
    </xdr:to>
    <xdr:pic>
      <xdr:nvPicPr>
        <xdr:cNvPr id="18" name="Image 17">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14325" y="95250"/>
          <a:ext cx="2257425" cy="1081020"/>
        </a:xfrm>
        <a:prstGeom prst="rect">
          <a:avLst/>
        </a:prstGeom>
      </xdr:spPr>
    </xdr:pic>
    <xdr:clientData/>
  </xdr:twoCellAnchor>
  <xdr:twoCellAnchor editAs="oneCell">
    <xdr:from>
      <xdr:col>0</xdr:col>
      <xdr:colOff>314325</xdr:colOff>
      <xdr:row>0</xdr:row>
      <xdr:rowOff>95250</xdr:rowOff>
    </xdr:from>
    <xdr:to>
      <xdr:col>4</xdr:col>
      <xdr:colOff>381000</xdr:colOff>
      <xdr:row>6</xdr:row>
      <xdr:rowOff>33270</xdr:rowOff>
    </xdr:to>
    <xdr:pic>
      <xdr:nvPicPr>
        <xdr:cNvPr id="20" name="Image 19">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14325" y="95250"/>
          <a:ext cx="2257425" cy="1081020"/>
        </a:xfrm>
        <a:prstGeom prst="rect">
          <a:avLst/>
        </a:prstGeom>
      </xdr:spPr>
    </xdr:pic>
    <xdr:clientData/>
  </xdr:twoCellAnchor>
  <xdr:twoCellAnchor editAs="oneCell">
    <xdr:from>
      <xdr:col>0</xdr:col>
      <xdr:colOff>314325</xdr:colOff>
      <xdr:row>0</xdr:row>
      <xdr:rowOff>95250</xdr:rowOff>
    </xdr:from>
    <xdr:to>
      <xdr:col>4</xdr:col>
      <xdr:colOff>381000</xdr:colOff>
      <xdr:row>6</xdr:row>
      <xdr:rowOff>33270</xdr:rowOff>
    </xdr:to>
    <xdr:pic>
      <xdr:nvPicPr>
        <xdr:cNvPr id="21" name="Image 20">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14325" y="95250"/>
          <a:ext cx="2257425" cy="1081020"/>
        </a:xfrm>
        <a:prstGeom prst="rect">
          <a:avLst/>
        </a:prstGeom>
      </xdr:spPr>
    </xdr:pic>
    <xdr:clientData/>
  </xdr:twoCellAnchor>
  <xdr:twoCellAnchor editAs="oneCell">
    <xdr:from>
      <xdr:col>0</xdr:col>
      <xdr:colOff>314325</xdr:colOff>
      <xdr:row>0</xdr:row>
      <xdr:rowOff>95250</xdr:rowOff>
    </xdr:from>
    <xdr:to>
      <xdr:col>4</xdr:col>
      <xdr:colOff>381000</xdr:colOff>
      <xdr:row>6</xdr:row>
      <xdr:rowOff>33270</xdr:rowOff>
    </xdr:to>
    <xdr:pic>
      <xdr:nvPicPr>
        <xdr:cNvPr id="23" name="Image 22">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14325" y="95250"/>
          <a:ext cx="2257425" cy="1081020"/>
        </a:xfrm>
        <a:prstGeom prst="rect">
          <a:avLst/>
        </a:prstGeom>
      </xdr:spPr>
    </xdr:pic>
    <xdr:clientData/>
  </xdr:twoCellAnchor>
  <xdr:twoCellAnchor editAs="oneCell">
    <xdr:from>
      <xdr:col>0</xdr:col>
      <xdr:colOff>314325</xdr:colOff>
      <xdr:row>0</xdr:row>
      <xdr:rowOff>95250</xdr:rowOff>
    </xdr:from>
    <xdr:to>
      <xdr:col>4</xdr:col>
      <xdr:colOff>381000</xdr:colOff>
      <xdr:row>6</xdr:row>
      <xdr:rowOff>33270</xdr:rowOff>
    </xdr:to>
    <xdr:pic>
      <xdr:nvPicPr>
        <xdr:cNvPr id="24" name="Image 23">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14325" y="95250"/>
          <a:ext cx="2257425" cy="1081020"/>
        </a:xfrm>
        <a:prstGeom prst="rect">
          <a:avLst/>
        </a:prstGeom>
      </xdr:spPr>
    </xdr:pic>
    <xdr:clientData/>
  </xdr:twoCellAnchor>
  <xdr:twoCellAnchor editAs="oneCell">
    <xdr:from>
      <xdr:col>0</xdr:col>
      <xdr:colOff>314325</xdr:colOff>
      <xdr:row>0</xdr:row>
      <xdr:rowOff>95250</xdr:rowOff>
    </xdr:from>
    <xdr:to>
      <xdr:col>4</xdr:col>
      <xdr:colOff>381000</xdr:colOff>
      <xdr:row>6</xdr:row>
      <xdr:rowOff>33270</xdr:rowOff>
    </xdr:to>
    <xdr:pic>
      <xdr:nvPicPr>
        <xdr:cNvPr id="25" name="Image 24">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14325" y="95250"/>
          <a:ext cx="2257425" cy="1081020"/>
        </a:xfrm>
        <a:prstGeom prst="rect">
          <a:avLst/>
        </a:prstGeom>
      </xdr:spPr>
    </xdr:pic>
    <xdr:clientData/>
  </xdr:twoCellAnchor>
  <xdr:twoCellAnchor editAs="oneCell">
    <xdr:from>
      <xdr:col>0</xdr:col>
      <xdr:colOff>314325</xdr:colOff>
      <xdr:row>0</xdr:row>
      <xdr:rowOff>95250</xdr:rowOff>
    </xdr:from>
    <xdr:to>
      <xdr:col>4</xdr:col>
      <xdr:colOff>381000</xdr:colOff>
      <xdr:row>6</xdr:row>
      <xdr:rowOff>33270</xdr:rowOff>
    </xdr:to>
    <xdr:pic>
      <xdr:nvPicPr>
        <xdr:cNvPr id="28" name="Image 27">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14325" y="95250"/>
          <a:ext cx="2257425" cy="1081020"/>
        </a:xfrm>
        <a:prstGeom prst="rect">
          <a:avLst/>
        </a:prstGeom>
      </xdr:spPr>
    </xdr:pic>
    <xdr:clientData/>
  </xdr:twoCellAnchor>
  <xdr:twoCellAnchor editAs="oneCell">
    <xdr:from>
      <xdr:col>0</xdr:col>
      <xdr:colOff>314325</xdr:colOff>
      <xdr:row>0</xdr:row>
      <xdr:rowOff>95250</xdr:rowOff>
    </xdr:from>
    <xdr:to>
      <xdr:col>4</xdr:col>
      <xdr:colOff>381000</xdr:colOff>
      <xdr:row>6</xdr:row>
      <xdr:rowOff>33270</xdr:rowOff>
    </xdr:to>
    <xdr:pic>
      <xdr:nvPicPr>
        <xdr:cNvPr id="26" name="Image 25">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14325" y="95250"/>
          <a:ext cx="2257425" cy="1081020"/>
        </a:xfrm>
        <a:prstGeom prst="rect">
          <a:avLst/>
        </a:prstGeom>
      </xdr:spPr>
    </xdr:pic>
    <xdr:clientData/>
  </xdr:twoCellAnchor>
  <xdr:twoCellAnchor editAs="oneCell">
    <xdr:from>
      <xdr:col>0</xdr:col>
      <xdr:colOff>314325</xdr:colOff>
      <xdr:row>0</xdr:row>
      <xdr:rowOff>95250</xdr:rowOff>
    </xdr:from>
    <xdr:to>
      <xdr:col>4</xdr:col>
      <xdr:colOff>381000</xdr:colOff>
      <xdr:row>6</xdr:row>
      <xdr:rowOff>33270</xdr:rowOff>
    </xdr:to>
    <xdr:pic>
      <xdr:nvPicPr>
        <xdr:cNvPr id="30" name="Image 29">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14325" y="95250"/>
          <a:ext cx="2257425" cy="1081020"/>
        </a:xfrm>
        <a:prstGeom prst="rect">
          <a:avLst/>
        </a:prstGeom>
      </xdr:spPr>
    </xdr:pic>
    <xdr:clientData/>
  </xdr:twoCellAnchor>
  <xdr:twoCellAnchor editAs="oneCell">
    <xdr:from>
      <xdr:col>0</xdr:col>
      <xdr:colOff>314325</xdr:colOff>
      <xdr:row>0</xdr:row>
      <xdr:rowOff>95250</xdr:rowOff>
    </xdr:from>
    <xdr:to>
      <xdr:col>4</xdr:col>
      <xdr:colOff>381000</xdr:colOff>
      <xdr:row>6</xdr:row>
      <xdr:rowOff>33270</xdr:rowOff>
    </xdr:to>
    <xdr:pic>
      <xdr:nvPicPr>
        <xdr:cNvPr id="27" name="Image 26">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14325" y="95250"/>
          <a:ext cx="2257425" cy="1081020"/>
        </a:xfrm>
        <a:prstGeom prst="rect">
          <a:avLst/>
        </a:prstGeom>
      </xdr:spPr>
    </xdr:pic>
    <xdr:clientData/>
  </xdr:twoCellAnchor>
  <xdr:twoCellAnchor editAs="oneCell">
    <xdr:from>
      <xdr:col>0</xdr:col>
      <xdr:colOff>314325</xdr:colOff>
      <xdr:row>0</xdr:row>
      <xdr:rowOff>95250</xdr:rowOff>
    </xdr:from>
    <xdr:to>
      <xdr:col>4</xdr:col>
      <xdr:colOff>381000</xdr:colOff>
      <xdr:row>6</xdr:row>
      <xdr:rowOff>33270</xdr:rowOff>
    </xdr:to>
    <xdr:pic>
      <xdr:nvPicPr>
        <xdr:cNvPr id="32" name="Image 3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14325" y="95250"/>
          <a:ext cx="2257425" cy="10810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168087</xdr:colOff>
      <xdr:row>1</xdr:row>
      <xdr:rowOff>0</xdr:rowOff>
    </xdr:from>
    <xdr:to>
      <xdr:col>7</xdr:col>
      <xdr:colOff>371475</xdr:colOff>
      <xdr:row>7</xdr:row>
      <xdr:rowOff>180975</xdr:rowOff>
    </xdr:to>
    <xdr:pic>
      <xdr:nvPicPr>
        <xdr:cNvPr id="20" name="Image 19">
          <a:hlinkClick xmlns:r="http://schemas.openxmlformats.org/officeDocument/2006/relationships" r:id="rId1"/>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a:stretch>
          <a:fillRect/>
        </a:stretch>
      </xdr:blipFill>
      <xdr:spPr>
        <a:xfrm>
          <a:off x="777687" y="200025"/>
          <a:ext cx="2784663" cy="13335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18</xdr:col>
          <xdr:colOff>9525</xdr:colOff>
          <xdr:row>18</xdr:row>
          <xdr:rowOff>0</xdr:rowOff>
        </xdr:to>
        <xdr:sp macro="" textlink="">
          <xdr:nvSpPr>
            <xdr:cNvPr id="6164" name="Drop Down 20" hidden="1">
              <a:extLst>
                <a:ext uri="{63B3BB69-23CF-44E3-9099-C40C66FF867C}">
                  <a14:compatExt spid="_x0000_s61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ides_Fonds_de_solidarite%20ma%20version%20pour%20Sept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 Entreprise"/>
      <sheetName val="Mes Aides"/>
      <sheetName val="Explications des Calculs"/>
      <sheetName val="Aides Compl &quot;coûts fixes&quot;"/>
      <sheetName val="Feuil1"/>
      <sheetName val="Annexes"/>
      <sheetName val="Feuil2"/>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4.xml"/><Relationship Id="rId18" Type="http://schemas.openxmlformats.org/officeDocument/2006/relationships/ctrlProp" Target="../ctrlProps/ctrlProp9.xml"/><Relationship Id="rId26" Type="http://schemas.openxmlformats.org/officeDocument/2006/relationships/ctrlProp" Target="../ctrlProps/ctrlProp17.xml"/><Relationship Id="rId21" Type="http://schemas.openxmlformats.org/officeDocument/2006/relationships/ctrlProp" Target="../ctrlProps/ctrlProp12.xml"/><Relationship Id="rId34" Type="http://schemas.openxmlformats.org/officeDocument/2006/relationships/ctrlProp" Target="../ctrlProps/ctrlProp25.xml"/><Relationship Id="rId7" Type="http://schemas.openxmlformats.org/officeDocument/2006/relationships/printerSettings" Target="../printerSettings/printerSettings1.bin"/><Relationship Id="rId12" Type="http://schemas.openxmlformats.org/officeDocument/2006/relationships/ctrlProp" Target="../ctrlProps/ctrlProp3.xml"/><Relationship Id="rId17" Type="http://schemas.openxmlformats.org/officeDocument/2006/relationships/ctrlProp" Target="../ctrlProps/ctrlProp8.xml"/><Relationship Id="rId25" Type="http://schemas.openxmlformats.org/officeDocument/2006/relationships/ctrlProp" Target="../ctrlProps/ctrlProp16.xml"/><Relationship Id="rId33" Type="http://schemas.openxmlformats.org/officeDocument/2006/relationships/ctrlProp" Target="../ctrlProps/ctrlProp24.xml"/><Relationship Id="rId38" Type="http://schemas.openxmlformats.org/officeDocument/2006/relationships/ctrlProp" Target="../ctrlProps/ctrlProp29.xml"/><Relationship Id="rId2" Type="http://schemas.openxmlformats.org/officeDocument/2006/relationships/hyperlink" Target="https://www.arcolib.fr/content/second-confinement-national-nouvelles-mesures-exceptionnelles-du-fonds-de-solidarit&#233;" TargetMode="External"/><Relationship Id="rId16" Type="http://schemas.openxmlformats.org/officeDocument/2006/relationships/ctrlProp" Target="../ctrlProps/ctrlProp7.xml"/><Relationship Id="rId20" Type="http://schemas.openxmlformats.org/officeDocument/2006/relationships/ctrlProp" Target="../ctrlProps/ctrlProp11.xml"/><Relationship Id="rId29" Type="http://schemas.openxmlformats.org/officeDocument/2006/relationships/ctrlProp" Target="../ctrlProps/ctrlProp20.xml"/><Relationship Id="rId1" Type="http://schemas.openxmlformats.org/officeDocument/2006/relationships/hyperlink" Target="https://www.arcolib.fr/sites/default/files/fichiersbasedoc/RESUME_Decret_2020_1328_02112020.pdf" TargetMode="External"/><Relationship Id="rId6" Type="http://schemas.openxmlformats.org/officeDocument/2006/relationships/hyperlink" Target="https://www.arcolib.fr/sites/default/files/fichiersbasedoc/R%C3%A9sum%C3%A9_Prolongation_du_Fonds_de_Solidarit%C3%A9_12.pdf" TargetMode="External"/><Relationship Id="rId11" Type="http://schemas.openxmlformats.org/officeDocument/2006/relationships/ctrlProp" Target="../ctrlProps/ctrlProp2.xml"/><Relationship Id="rId24" Type="http://schemas.openxmlformats.org/officeDocument/2006/relationships/ctrlProp" Target="../ctrlProps/ctrlProp15.xml"/><Relationship Id="rId32" Type="http://schemas.openxmlformats.org/officeDocument/2006/relationships/ctrlProp" Target="../ctrlProps/ctrlProp23.xml"/><Relationship Id="rId37" Type="http://schemas.openxmlformats.org/officeDocument/2006/relationships/ctrlProp" Target="../ctrlProps/ctrlProp28.xml"/><Relationship Id="rId5" Type="http://schemas.openxmlformats.org/officeDocument/2006/relationships/hyperlink" Target="https://www.legifrance.gouv.fr/loda/id/JORFTEXT000041768315/" TargetMode="External"/><Relationship Id="rId15" Type="http://schemas.openxmlformats.org/officeDocument/2006/relationships/ctrlProp" Target="../ctrlProps/ctrlProp6.xml"/><Relationship Id="rId23" Type="http://schemas.openxmlformats.org/officeDocument/2006/relationships/ctrlProp" Target="../ctrlProps/ctrlProp14.xml"/><Relationship Id="rId28" Type="http://schemas.openxmlformats.org/officeDocument/2006/relationships/ctrlProp" Target="../ctrlProps/ctrlProp19.xml"/><Relationship Id="rId36" Type="http://schemas.openxmlformats.org/officeDocument/2006/relationships/ctrlProp" Target="../ctrlProps/ctrlProp27.xml"/><Relationship Id="rId10" Type="http://schemas.openxmlformats.org/officeDocument/2006/relationships/ctrlProp" Target="../ctrlProps/ctrlProp1.xml"/><Relationship Id="rId19" Type="http://schemas.openxmlformats.org/officeDocument/2006/relationships/ctrlProp" Target="../ctrlProps/ctrlProp10.xml"/><Relationship Id="rId31" Type="http://schemas.openxmlformats.org/officeDocument/2006/relationships/ctrlProp" Target="../ctrlProps/ctrlProp22.xml"/><Relationship Id="rId4" Type="http://schemas.openxmlformats.org/officeDocument/2006/relationships/hyperlink" Target="https://www.legifrance.gouv.fr/jorf/id/JORFTEXT000042475143" TargetMode="External"/><Relationship Id="rId9" Type="http://schemas.openxmlformats.org/officeDocument/2006/relationships/vmlDrawing" Target="../drawings/vmlDrawing1.vml"/><Relationship Id="rId14" Type="http://schemas.openxmlformats.org/officeDocument/2006/relationships/ctrlProp" Target="../ctrlProps/ctrlProp5.xml"/><Relationship Id="rId22" Type="http://schemas.openxmlformats.org/officeDocument/2006/relationships/ctrlProp" Target="../ctrlProps/ctrlProp13.xml"/><Relationship Id="rId27" Type="http://schemas.openxmlformats.org/officeDocument/2006/relationships/ctrlProp" Target="../ctrlProps/ctrlProp18.xml"/><Relationship Id="rId30" Type="http://schemas.openxmlformats.org/officeDocument/2006/relationships/ctrlProp" Target="../ctrlProps/ctrlProp21.xml"/><Relationship Id="rId35" Type="http://schemas.openxmlformats.org/officeDocument/2006/relationships/ctrlProp" Target="../ctrlProps/ctrlProp26.xml"/><Relationship Id="rId8" Type="http://schemas.openxmlformats.org/officeDocument/2006/relationships/drawing" Target="../drawings/drawing1.xml"/><Relationship Id="rId3" Type="http://schemas.openxmlformats.org/officeDocument/2006/relationships/hyperlink" Target="https://www.legifrance.gouv.fr/jorf/id/JORFTEXT00004334479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30.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legifrance.gouv.fr/affichTexte.do?cidTexte=JORFTEXT000000607662&amp;categorieLien=cid" TargetMode="External"/><Relationship Id="rId1" Type="http://schemas.openxmlformats.org/officeDocument/2006/relationships/hyperlink" Target="https://www.legifrance.gouv.fr/affichCodeArticle.do?cidTexte=LEGITEXT000006072050&amp;idArticle=LEGIARTI000006902603&amp;dateTexte=&amp;categorieLien=ci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rgb="FF0D4174"/>
  </sheetPr>
  <dimension ref="A1:AC238"/>
  <sheetViews>
    <sheetView showGridLines="0" tabSelected="1" zoomScaleNormal="100" workbookViewId="0">
      <selection activeCell="K2" sqref="K2:P4"/>
    </sheetView>
  </sheetViews>
  <sheetFormatPr baseColWidth="10" defaultColWidth="9.140625" defaultRowHeight="15"/>
  <cols>
    <col min="2" max="2" width="7.7109375" customWidth="1"/>
    <col min="3" max="4" width="2.85546875" customWidth="1"/>
    <col min="9" max="9" width="16.28515625" customWidth="1"/>
    <col min="10" max="10" width="13.5703125" customWidth="1"/>
    <col min="11" max="11" width="13.42578125" customWidth="1"/>
    <col min="13" max="13" width="16.28515625" customWidth="1"/>
    <col min="14" max="14" width="3.85546875" customWidth="1"/>
    <col min="15" max="15" width="4.140625" customWidth="1"/>
    <col min="16" max="16" width="13.28515625" customWidth="1"/>
    <col min="17" max="17" width="2.5703125" customWidth="1"/>
    <col min="18" max="18" width="12.140625" customWidth="1"/>
    <col min="19" max="19" width="4.28515625" customWidth="1"/>
    <col min="20" max="20" width="20.28515625" customWidth="1"/>
    <col min="21" max="21" width="16.42578125" customWidth="1"/>
    <col min="22" max="22" width="2.28515625" customWidth="1"/>
    <col min="23" max="25" width="10.7109375" bestFit="1" customWidth="1"/>
  </cols>
  <sheetData>
    <row r="1" spans="2:25" ht="15.75" thickBot="1">
      <c r="B1" s="40"/>
      <c r="C1" s="40"/>
      <c r="D1" s="40"/>
      <c r="E1" s="40"/>
      <c r="F1" s="40"/>
      <c r="G1" s="40"/>
      <c r="H1" s="40"/>
      <c r="I1" s="40"/>
      <c r="J1" s="40"/>
      <c r="K1" s="40"/>
      <c r="L1" s="40"/>
      <c r="M1" s="40"/>
      <c r="N1" s="40"/>
      <c r="O1" s="40"/>
      <c r="P1" s="40"/>
    </row>
    <row r="2" spans="2:25" ht="15" customHeight="1">
      <c r="B2" s="40"/>
      <c r="C2" s="40"/>
      <c r="D2" s="40"/>
      <c r="E2" s="40"/>
      <c r="F2" s="40"/>
      <c r="G2" s="40"/>
      <c r="H2" s="436" t="s">
        <v>14</v>
      </c>
      <c r="I2" s="437"/>
      <c r="J2" s="438"/>
      <c r="K2" s="445"/>
      <c r="L2" s="446"/>
      <c r="M2" s="446"/>
      <c r="N2" s="446"/>
      <c r="O2" s="446"/>
      <c r="P2" s="447"/>
      <c r="S2" s="436" t="s">
        <v>41</v>
      </c>
      <c r="T2" s="437"/>
      <c r="U2" s="437"/>
      <c r="V2" s="438"/>
    </row>
    <row r="3" spans="2:25" ht="15" customHeight="1">
      <c r="B3" s="40"/>
      <c r="C3" s="40"/>
      <c r="D3" s="40"/>
      <c r="E3" s="40"/>
      <c r="F3" s="40"/>
      <c r="G3" s="40"/>
      <c r="H3" s="439"/>
      <c r="I3" s="440"/>
      <c r="J3" s="441"/>
      <c r="K3" s="448"/>
      <c r="L3" s="449"/>
      <c r="M3" s="449"/>
      <c r="N3" s="449"/>
      <c r="O3" s="449"/>
      <c r="P3" s="450"/>
      <c r="S3" s="439"/>
      <c r="T3" s="440"/>
      <c r="U3" s="440"/>
      <c r="V3" s="441"/>
    </row>
    <row r="4" spans="2:25" ht="15" customHeight="1" thickBot="1">
      <c r="B4" s="40"/>
      <c r="C4" s="40"/>
      <c r="D4" s="40"/>
      <c r="E4" s="40"/>
      <c r="F4" s="40"/>
      <c r="G4" s="40"/>
      <c r="H4" s="442"/>
      <c r="I4" s="443"/>
      <c r="J4" s="444"/>
      <c r="K4" s="451"/>
      <c r="L4" s="452"/>
      <c r="M4" s="452"/>
      <c r="N4" s="452"/>
      <c r="O4" s="452"/>
      <c r="P4" s="453"/>
      <c r="S4" s="82"/>
      <c r="T4" s="137" t="s">
        <v>54</v>
      </c>
      <c r="U4" s="138"/>
      <c r="V4" s="81"/>
    </row>
    <row r="5" spans="2:25" ht="15" customHeight="1" thickBot="1">
      <c r="B5" s="40"/>
      <c r="C5" s="40"/>
      <c r="D5" s="40"/>
      <c r="E5" s="40"/>
      <c r="F5" s="40"/>
      <c r="G5" s="40"/>
      <c r="H5" s="41"/>
      <c r="I5" s="41"/>
      <c r="J5" s="41"/>
      <c r="K5" s="42"/>
      <c r="L5" s="42"/>
      <c r="M5" s="42"/>
      <c r="N5" s="42"/>
      <c r="O5" s="42"/>
      <c r="P5" s="42"/>
      <c r="S5" s="82"/>
      <c r="T5" s="475" t="s">
        <v>35</v>
      </c>
      <c r="U5" s="475"/>
      <c r="V5" s="81"/>
    </row>
    <row r="6" spans="2:25" ht="15" customHeight="1" thickBot="1">
      <c r="B6" s="40"/>
      <c r="C6" s="40"/>
      <c r="D6" s="40"/>
      <c r="E6" s="40"/>
      <c r="F6" s="40"/>
      <c r="G6" s="40"/>
      <c r="H6" s="459" t="s">
        <v>55</v>
      </c>
      <c r="I6" s="460"/>
      <c r="J6" s="461"/>
      <c r="K6" s="457"/>
      <c r="L6" s="462"/>
      <c r="M6" s="462"/>
      <c r="N6" s="462"/>
      <c r="O6" s="462"/>
      <c r="P6" s="463"/>
      <c r="S6" s="82"/>
      <c r="T6" s="475"/>
      <c r="U6" s="475"/>
      <c r="V6" s="81"/>
    </row>
    <row r="7" spans="2:25" ht="15.75" thickBot="1">
      <c r="B7" s="40"/>
      <c r="C7" s="40"/>
      <c r="D7" s="40"/>
      <c r="E7" s="40"/>
      <c r="F7" s="40"/>
      <c r="G7" s="40"/>
      <c r="H7" s="40"/>
      <c r="I7" s="40"/>
      <c r="J7" s="40"/>
      <c r="K7" s="40"/>
      <c r="L7" s="40"/>
      <c r="M7" s="40"/>
      <c r="N7" s="40"/>
      <c r="O7" s="40"/>
      <c r="P7" s="40"/>
      <c r="S7" s="83"/>
      <c r="T7" s="84"/>
      <c r="U7" s="84"/>
      <c r="V7" s="85"/>
    </row>
    <row r="8" spans="2:25" ht="15.75" thickBot="1">
      <c r="B8" s="40"/>
      <c r="C8" s="40"/>
      <c r="D8" s="40"/>
      <c r="E8" s="40"/>
      <c r="F8" s="40"/>
      <c r="G8" s="40"/>
      <c r="H8" s="454" t="s">
        <v>15</v>
      </c>
      <c r="I8" s="455"/>
      <c r="J8" s="456"/>
      <c r="K8" s="457"/>
      <c r="L8" s="458"/>
      <c r="M8" s="468" t="s">
        <v>42</v>
      </c>
      <c r="N8" s="402"/>
      <c r="O8" s="402"/>
      <c r="P8" s="402"/>
    </row>
    <row r="9" spans="2:25" ht="23.25" customHeight="1" thickBot="1">
      <c r="B9" s="40"/>
      <c r="C9" s="40"/>
      <c r="D9" s="40"/>
      <c r="E9" s="40"/>
      <c r="F9" s="40"/>
      <c r="G9" s="40"/>
      <c r="H9" s="43"/>
      <c r="I9" s="40"/>
      <c r="J9" s="40"/>
      <c r="K9" s="40"/>
      <c r="L9" s="40"/>
      <c r="M9" s="40"/>
      <c r="N9" s="40"/>
      <c r="O9" s="40"/>
      <c r="P9" s="40"/>
      <c r="S9" s="477" t="s">
        <v>67</v>
      </c>
      <c r="T9" s="477"/>
      <c r="U9" s="477"/>
      <c r="V9" s="477"/>
    </row>
    <row r="10" spans="2:25" ht="15" customHeight="1">
      <c r="B10" s="464" t="s">
        <v>38</v>
      </c>
      <c r="C10" s="465"/>
      <c r="D10" s="465"/>
      <c r="E10" s="465"/>
      <c r="F10" s="465"/>
      <c r="G10" s="472" t="s">
        <v>50</v>
      </c>
      <c r="H10" s="473"/>
      <c r="I10" s="473"/>
      <c r="J10" s="473"/>
      <c r="K10" s="473"/>
      <c r="L10" s="474"/>
      <c r="M10" s="91"/>
      <c r="N10" s="91"/>
      <c r="O10" s="91"/>
      <c r="P10" s="91"/>
      <c r="S10" s="477"/>
      <c r="T10" s="477"/>
      <c r="U10" s="477"/>
      <c r="V10" s="477"/>
    </row>
    <row r="11" spans="2:25" ht="15" customHeight="1" thickBot="1">
      <c r="B11" s="466"/>
      <c r="C11" s="467"/>
      <c r="D11" s="467"/>
      <c r="E11" s="467"/>
      <c r="F11" s="467"/>
      <c r="G11" s="469" t="s">
        <v>37</v>
      </c>
      <c r="H11" s="470"/>
      <c r="I11" s="470"/>
      <c r="J11" s="470"/>
      <c r="K11" s="470"/>
      <c r="L11" s="471"/>
      <c r="M11" s="91"/>
      <c r="N11" s="91"/>
      <c r="O11" s="91"/>
      <c r="P11" s="91"/>
      <c r="S11" s="112"/>
      <c r="T11" s="428" t="s">
        <v>66</v>
      </c>
      <c r="U11" s="476"/>
      <c r="V11" s="112"/>
    </row>
    <row r="12" spans="2:25" ht="15" customHeight="1">
      <c r="B12" s="101"/>
      <c r="C12" s="101"/>
      <c r="D12" s="101"/>
      <c r="E12" s="101"/>
      <c r="F12" s="101"/>
      <c r="G12" s="96"/>
      <c r="H12" s="96"/>
      <c r="I12" s="96"/>
      <c r="J12" s="96"/>
      <c r="K12" s="96"/>
      <c r="L12" s="96"/>
      <c r="M12" s="91"/>
      <c r="N12" s="91"/>
      <c r="O12" s="91"/>
      <c r="P12" s="91"/>
      <c r="S12" s="106"/>
      <c r="T12" s="476"/>
      <c r="U12" s="476"/>
      <c r="V12" s="106"/>
      <c r="W12" s="99"/>
      <c r="X12" s="99"/>
      <c r="Y12" s="99"/>
    </row>
    <row r="13" spans="2:25" ht="15" customHeight="1">
      <c r="B13" s="97"/>
      <c r="C13" s="97"/>
      <c r="D13" s="97"/>
      <c r="E13" s="97"/>
      <c r="F13" s="97"/>
      <c r="G13" s="96"/>
      <c r="H13" s="96"/>
      <c r="I13" s="96"/>
      <c r="J13" s="96"/>
      <c r="K13" s="96"/>
      <c r="L13" s="96"/>
      <c r="M13" s="91"/>
      <c r="N13" s="91"/>
      <c r="O13" s="91"/>
      <c r="P13" s="91"/>
      <c r="S13" s="106"/>
      <c r="T13" s="428" t="s">
        <v>432</v>
      </c>
      <c r="U13" s="428"/>
      <c r="V13" s="106"/>
      <c r="W13" s="99"/>
      <c r="X13" s="99"/>
      <c r="Y13" s="99"/>
    </row>
    <row r="14" spans="2:25" ht="15" customHeight="1">
      <c r="B14" s="60" t="s">
        <v>53</v>
      </c>
      <c r="C14" s="40"/>
      <c r="D14" s="40"/>
      <c r="E14" s="40"/>
      <c r="F14" s="40"/>
      <c r="G14" s="40"/>
      <c r="H14" s="43"/>
      <c r="I14" s="40"/>
      <c r="J14" s="40"/>
      <c r="K14" s="40"/>
      <c r="L14" s="40"/>
      <c r="M14" s="40"/>
      <c r="N14" s="40"/>
      <c r="O14" s="40"/>
      <c r="P14" s="40"/>
      <c r="S14" s="106"/>
      <c r="T14" s="428"/>
      <c r="U14" s="428"/>
      <c r="V14" s="106"/>
    </row>
    <row r="15" spans="2:25" ht="15" customHeight="1">
      <c r="B15" s="423" t="s">
        <v>57</v>
      </c>
      <c r="C15" s="423"/>
      <c r="D15" s="423"/>
      <c r="E15" s="423"/>
      <c r="F15" s="423"/>
      <c r="G15" s="423"/>
      <c r="H15" s="40"/>
      <c r="I15" s="40"/>
      <c r="J15" s="40"/>
      <c r="K15" s="40"/>
      <c r="L15" s="40"/>
      <c r="M15" s="40"/>
      <c r="N15" s="40"/>
      <c r="O15" s="40"/>
      <c r="P15" s="40"/>
      <c r="Q15" s="39"/>
      <c r="R15" s="39"/>
      <c r="S15" s="106"/>
      <c r="T15" s="428"/>
      <c r="U15" s="428"/>
      <c r="V15" s="106"/>
    </row>
    <row r="16" spans="2:25" ht="15" customHeight="1">
      <c r="B16" s="40"/>
      <c r="C16" s="40"/>
      <c r="D16" s="40"/>
      <c r="E16" s="40"/>
      <c r="F16" s="40"/>
      <c r="G16" s="40"/>
      <c r="H16" s="40"/>
      <c r="I16" s="40"/>
      <c r="J16" s="40"/>
      <c r="K16" s="40"/>
      <c r="L16" s="40"/>
      <c r="M16" s="40"/>
      <c r="N16" s="40"/>
      <c r="O16" s="40"/>
      <c r="P16" s="40"/>
      <c r="Q16" s="39"/>
      <c r="R16" s="102"/>
      <c r="S16" s="106"/>
      <c r="T16" s="428" t="s">
        <v>431</v>
      </c>
      <c r="U16" s="428"/>
      <c r="V16" s="106"/>
      <c r="W16" s="5"/>
    </row>
    <row r="17" spans="2:22" ht="15.75" customHeight="1">
      <c r="B17" s="423" t="s">
        <v>56</v>
      </c>
      <c r="C17" s="423"/>
      <c r="D17" s="423"/>
      <c r="E17" s="423"/>
      <c r="F17" s="423"/>
      <c r="G17" s="423"/>
      <c r="H17" s="40"/>
      <c r="I17" s="40"/>
      <c r="J17" s="40"/>
      <c r="K17" s="40"/>
      <c r="L17" s="40"/>
      <c r="M17" s="40"/>
      <c r="N17" s="40"/>
      <c r="O17" s="40"/>
      <c r="P17" s="40"/>
      <c r="Q17" s="31"/>
      <c r="R17" s="31"/>
      <c r="S17" s="106"/>
      <c r="T17" s="428"/>
      <c r="U17" s="428"/>
      <c r="V17" s="106"/>
    </row>
    <row r="18" spans="2:22">
      <c r="B18" s="40"/>
      <c r="C18" s="40"/>
      <c r="D18" s="40"/>
      <c r="E18" s="431" t="s">
        <v>59</v>
      </c>
      <c r="F18" s="431"/>
      <c r="G18" s="431"/>
      <c r="H18" s="431"/>
      <c r="I18" s="431"/>
      <c r="J18" s="431"/>
      <c r="K18" s="431"/>
      <c r="L18" s="431"/>
      <c r="M18" s="431"/>
      <c r="N18" s="431"/>
      <c r="O18" s="431"/>
      <c r="P18" s="40"/>
      <c r="S18" s="106"/>
      <c r="T18" s="428"/>
      <c r="U18" s="428"/>
      <c r="V18" s="106"/>
    </row>
    <row r="19" spans="2:22" ht="15.75" customHeight="1">
      <c r="B19" s="40"/>
      <c r="C19" s="40"/>
      <c r="D19" s="40"/>
      <c r="E19" s="431" t="s">
        <v>107</v>
      </c>
      <c r="F19" s="431"/>
      <c r="G19" s="431"/>
      <c r="H19" s="431"/>
      <c r="I19" s="431"/>
      <c r="J19" s="431"/>
      <c r="K19" s="431"/>
      <c r="L19" s="431"/>
      <c r="M19" s="431"/>
      <c r="N19" s="431"/>
      <c r="O19" s="431"/>
      <c r="P19" s="40"/>
      <c r="S19" s="106"/>
      <c r="T19" s="428" t="s">
        <v>430</v>
      </c>
      <c r="U19" s="428"/>
      <c r="V19" s="105"/>
    </row>
    <row r="20" spans="2:22" ht="15.75" customHeight="1">
      <c r="B20" s="40"/>
      <c r="C20" s="40"/>
      <c r="D20" s="40"/>
      <c r="E20" s="431" t="s">
        <v>299</v>
      </c>
      <c r="F20" s="431"/>
      <c r="G20" s="431"/>
      <c r="H20" s="431"/>
      <c r="I20" s="431"/>
      <c r="J20" s="431"/>
      <c r="K20" s="431"/>
      <c r="L20" s="431"/>
      <c r="M20" s="431"/>
      <c r="N20" s="431"/>
      <c r="O20" s="431"/>
      <c r="P20" s="40"/>
      <c r="S20" s="106"/>
      <c r="T20" s="428"/>
      <c r="U20" s="428"/>
      <c r="V20" s="105"/>
    </row>
    <row r="21" spans="2:22" ht="15.75" customHeight="1">
      <c r="B21" s="40"/>
      <c r="C21" s="40"/>
      <c r="D21" s="431" t="s">
        <v>343</v>
      </c>
      <c r="E21" s="431"/>
      <c r="F21" s="431"/>
      <c r="G21" s="431"/>
      <c r="H21" s="431"/>
      <c r="I21" s="431"/>
      <c r="J21" s="431"/>
      <c r="K21" s="431"/>
      <c r="L21" s="431"/>
      <c r="M21" s="431"/>
      <c r="N21" s="431"/>
      <c r="O21" s="431"/>
      <c r="P21" s="40"/>
      <c r="S21" s="106"/>
      <c r="T21" s="428"/>
      <c r="U21" s="428"/>
      <c r="V21" s="105"/>
    </row>
    <row r="22" spans="2:22" ht="15.75">
      <c r="B22" s="40"/>
      <c r="C22" s="40"/>
      <c r="D22" s="40"/>
      <c r="E22" s="431" t="str">
        <f>IF(AND(Annexes!F5&gt;1,Annexes!F7&gt;1),"Veuillez-vous assurer qu'il n'y ait qu'une seule activité de sélectionnée entre l'annexe 1 et 2","")</f>
        <v/>
      </c>
      <c r="F22" s="431"/>
      <c r="G22" s="431"/>
      <c r="H22" s="431"/>
      <c r="I22" s="431"/>
      <c r="J22" s="431"/>
      <c r="K22" s="431"/>
      <c r="L22" s="431"/>
      <c r="M22" s="431"/>
      <c r="N22" s="431"/>
      <c r="O22" s="431"/>
      <c r="P22" s="40"/>
      <c r="S22" s="106"/>
      <c r="T22" s="428"/>
      <c r="U22" s="428"/>
      <c r="V22" s="105"/>
    </row>
    <row r="23" spans="2:22" ht="15.75">
      <c r="B23" s="40"/>
      <c r="C23" s="40"/>
      <c r="D23" s="40"/>
      <c r="E23" s="207"/>
      <c r="F23" s="207"/>
      <c r="G23" s="207"/>
      <c r="H23" s="207"/>
      <c r="I23" s="207"/>
      <c r="J23" s="207"/>
      <c r="K23" s="207"/>
      <c r="L23" s="207"/>
      <c r="M23" s="207"/>
      <c r="N23" s="207"/>
      <c r="O23" s="207"/>
      <c r="P23" s="40"/>
      <c r="S23" s="105"/>
      <c r="T23" s="428" t="s">
        <v>70</v>
      </c>
      <c r="U23" s="428"/>
      <c r="V23" s="105"/>
    </row>
    <row r="24" spans="2:22" ht="15.75" customHeight="1">
      <c r="B24" s="40"/>
      <c r="C24" s="40"/>
      <c r="D24" s="40"/>
      <c r="E24" s="429" t="s">
        <v>306</v>
      </c>
      <c r="F24" s="429"/>
      <c r="G24" s="429"/>
      <c r="H24" s="429"/>
      <c r="I24" s="429"/>
      <c r="J24" s="429"/>
      <c r="K24" s="429"/>
      <c r="L24" s="429"/>
      <c r="M24" s="429"/>
      <c r="N24" s="429"/>
      <c r="O24" s="429"/>
      <c r="P24" s="429"/>
      <c r="Q24" s="429"/>
      <c r="S24" s="105"/>
      <c r="T24" s="428"/>
      <c r="U24" s="428"/>
      <c r="V24" s="105"/>
    </row>
    <row r="25" spans="2:22" ht="15.75" customHeight="1">
      <c r="B25" s="40"/>
      <c r="C25" s="40"/>
      <c r="D25" s="40"/>
      <c r="E25" s="430" t="str">
        <f>IF(AND(OR(Annexes!F5&gt;1,Annexes!F7&gt;1),Annexes!M17=TRUE),"Veuillez-vous assurer qu'il n'y ait qu'une seule activité de sélectionnée entre l'annexe 1, 2 et 3","")</f>
        <v/>
      </c>
      <c r="F25" s="430"/>
      <c r="G25" s="430"/>
      <c r="H25" s="430"/>
      <c r="I25" s="430"/>
      <c r="J25" s="430"/>
      <c r="K25" s="430"/>
      <c r="L25" s="430"/>
      <c r="M25" s="430"/>
      <c r="N25" s="430"/>
      <c r="O25" s="430"/>
      <c r="P25" s="430"/>
      <c r="Q25" s="217"/>
      <c r="S25" s="105"/>
      <c r="T25" s="428"/>
      <c r="U25" s="428"/>
      <c r="V25" s="105"/>
    </row>
    <row r="26" spans="2:22" ht="31.5" customHeight="1">
      <c r="B26" s="40"/>
      <c r="C26" s="40"/>
      <c r="D26" s="40"/>
      <c r="E26" s="418" t="s">
        <v>384</v>
      </c>
      <c r="F26" s="418"/>
      <c r="G26" s="418"/>
      <c r="H26" s="418"/>
      <c r="I26" s="418"/>
      <c r="J26" s="418"/>
      <c r="K26" s="418"/>
      <c r="L26" s="418"/>
      <c r="M26" s="418"/>
      <c r="N26" s="418"/>
      <c r="O26" s="418"/>
      <c r="P26" s="418"/>
      <c r="Q26" s="418"/>
      <c r="S26" s="105"/>
      <c r="T26" s="428"/>
      <c r="U26" s="428"/>
      <c r="V26" s="105"/>
    </row>
    <row r="27" spans="2:22" ht="15.75" customHeight="1">
      <c r="B27" s="40"/>
      <c r="C27" s="40"/>
      <c r="D27" s="40"/>
      <c r="E27" s="482" t="str">
        <f>IF(AND(OR(Annexes!F5&gt;1,Annexes!F7&gt;1),Annexes!M23=TRUE),"Veuillez-vous assurer qu'il n'y ait qu'une seule activité de sélectionnée entre l'annexe 1, 2 et exercant dans un centre commercial","")</f>
        <v/>
      </c>
      <c r="F27" s="482"/>
      <c r="G27" s="482"/>
      <c r="H27" s="482"/>
      <c r="I27" s="482"/>
      <c r="J27" s="482"/>
      <c r="K27" s="482"/>
      <c r="L27" s="482"/>
      <c r="M27" s="482"/>
      <c r="N27" s="482"/>
      <c r="O27" s="482"/>
      <c r="P27" s="482"/>
      <c r="S27" s="5"/>
      <c r="T27" s="92"/>
      <c r="U27" s="92"/>
      <c r="V27" s="92"/>
    </row>
    <row r="28" spans="2:22" ht="15.75" customHeight="1">
      <c r="B28" s="40"/>
      <c r="C28" s="40"/>
      <c r="D28" s="40"/>
      <c r="E28" s="418" t="s">
        <v>450</v>
      </c>
      <c r="F28" s="418"/>
      <c r="G28" s="418"/>
      <c r="H28" s="418"/>
      <c r="I28" s="418"/>
      <c r="J28" s="418"/>
      <c r="K28" s="418"/>
      <c r="L28" s="418"/>
      <c r="M28" s="418"/>
      <c r="N28" s="418"/>
      <c r="O28" s="418"/>
      <c r="P28" s="418"/>
      <c r="Q28" s="418"/>
      <c r="S28" s="5"/>
      <c r="T28" s="92"/>
      <c r="U28" s="92"/>
      <c r="V28" s="92"/>
    </row>
    <row r="29" spans="2:22" ht="15.75" customHeight="1">
      <c r="B29" s="40"/>
      <c r="C29" s="40"/>
      <c r="D29" s="40"/>
      <c r="E29" s="418"/>
      <c r="F29" s="418"/>
      <c r="G29" s="418"/>
      <c r="H29" s="418"/>
      <c r="I29" s="418"/>
      <c r="J29" s="418"/>
      <c r="K29" s="418"/>
      <c r="L29" s="418"/>
      <c r="M29" s="418"/>
      <c r="N29" s="418"/>
      <c r="O29" s="418"/>
      <c r="P29" s="418"/>
      <c r="Q29" s="418"/>
      <c r="S29" s="5"/>
      <c r="T29" s="92"/>
      <c r="U29" s="92"/>
      <c r="V29" s="92"/>
    </row>
    <row r="30" spans="2:22" ht="15.75">
      <c r="B30" s="40"/>
      <c r="C30" s="40"/>
      <c r="D30" s="40"/>
      <c r="E30" s="40"/>
      <c r="F30" s="40"/>
      <c r="G30" s="40"/>
      <c r="H30" s="40"/>
      <c r="I30" s="40"/>
      <c r="J30" s="40"/>
      <c r="K30" s="40"/>
      <c r="L30" s="40"/>
      <c r="M30" s="40"/>
      <c r="N30" s="40"/>
      <c r="O30" s="40"/>
      <c r="P30" s="40"/>
      <c r="S30" s="93"/>
      <c r="T30" s="93"/>
      <c r="U30" s="94"/>
      <c r="V30" s="95"/>
    </row>
    <row r="31" spans="2:22">
      <c r="B31" s="40"/>
      <c r="C31" s="40"/>
      <c r="D31" s="40"/>
      <c r="E31" s="413" t="s">
        <v>58</v>
      </c>
      <c r="F31" s="413"/>
      <c r="G31" s="413"/>
      <c r="H31" s="413"/>
      <c r="I31" s="413"/>
      <c r="J31" s="413"/>
      <c r="K31" s="413"/>
      <c r="L31" s="40"/>
      <c r="M31" s="40"/>
      <c r="N31" s="40"/>
      <c r="O31" s="40"/>
      <c r="P31" s="40"/>
      <c r="U31" s="1"/>
    </row>
    <row r="32" spans="2:22">
      <c r="B32" s="40"/>
      <c r="C32" s="40"/>
      <c r="D32" s="40"/>
      <c r="E32" s="432" t="s">
        <v>86</v>
      </c>
      <c r="F32" s="432"/>
      <c r="G32" s="432"/>
      <c r="H32" s="432"/>
      <c r="I32" s="432"/>
      <c r="J32" s="432"/>
      <c r="K32" s="432"/>
      <c r="L32" s="432"/>
      <c r="M32" s="432"/>
      <c r="N32" s="432"/>
      <c r="O32" s="432"/>
      <c r="P32" s="432"/>
      <c r="U32" s="1"/>
    </row>
    <row r="33" spans="1:29">
      <c r="B33" s="40"/>
      <c r="C33" s="40"/>
      <c r="D33" s="40"/>
      <c r="E33" s="432"/>
      <c r="F33" s="432"/>
      <c r="G33" s="432"/>
      <c r="H33" s="432"/>
      <c r="I33" s="432"/>
      <c r="J33" s="432"/>
      <c r="K33" s="432"/>
      <c r="L33" s="432"/>
      <c r="M33" s="432"/>
      <c r="N33" s="432"/>
      <c r="O33" s="432"/>
      <c r="P33" s="432"/>
      <c r="U33" s="1"/>
    </row>
    <row r="34" spans="1:29">
      <c r="B34" s="40"/>
      <c r="C34" s="64"/>
      <c r="D34" s="40"/>
      <c r="E34" s="413" t="s">
        <v>64</v>
      </c>
      <c r="F34" s="413"/>
      <c r="G34" s="413"/>
      <c r="H34" s="413"/>
      <c r="I34" s="413"/>
      <c r="J34" s="413"/>
      <c r="K34" s="64"/>
      <c r="L34" s="64"/>
      <c r="M34" s="64"/>
      <c r="N34" s="64"/>
      <c r="O34" s="64"/>
      <c r="P34" s="64"/>
      <c r="Q34" s="78"/>
      <c r="U34" s="1"/>
    </row>
    <row r="35" spans="1:29" ht="7.5" customHeight="1">
      <c r="A35" s="147"/>
      <c r="B35" s="65"/>
      <c r="C35" s="157"/>
      <c r="D35" s="44"/>
      <c r="E35" s="45"/>
      <c r="F35" s="45"/>
      <c r="G35" s="45"/>
      <c r="H35" s="45"/>
      <c r="I35" s="45"/>
      <c r="J35" s="86"/>
      <c r="K35" s="69"/>
      <c r="L35" s="69"/>
      <c r="M35" s="69"/>
      <c r="N35" s="69"/>
      <c r="O35" s="69"/>
      <c r="P35" s="69"/>
      <c r="Q35" s="70"/>
      <c r="U35" s="1"/>
    </row>
    <row r="36" spans="1:29">
      <c r="B36" s="65"/>
      <c r="C36" s="44"/>
      <c r="D36" s="44"/>
      <c r="E36" s="45"/>
      <c r="F36" s="45"/>
      <c r="G36" s="45"/>
      <c r="H36" s="45"/>
      <c r="I36" s="45"/>
      <c r="J36" s="45"/>
      <c r="K36" s="40"/>
      <c r="L36" s="40"/>
      <c r="M36" s="87" t="s">
        <v>10</v>
      </c>
      <c r="N36" s="47"/>
      <c r="O36" s="48"/>
      <c r="P36" s="87" t="s">
        <v>11</v>
      </c>
      <c r="Q36" s="68"/>
      <c r="U36" s="1"/>
    </row>
    <row r="37" spans="1:29" ht="6.75" customHeight="1">
      <c r="B37" s="65"/>
      <c r="C37" s="44"/>
      <c r="D37" s="44"/>
      <c r="E37" s="40"/>
      <c r="F37" s="40"/>
      <c r="G37" s="40"/>
      <c r="H37" s="40"/>
      <c r="I37" s="40"/>
      <c r="J37" s="40"/>
      <c r="K37" s="40"/>
      <c r="L37" s="40"/>
      <c r="M37" s="40"/>
      <c r="N37" s="40"/>
      <c r="O37" s="44"/>
      <c r="P37" s="40"/>
      <c r="Q37" s="68"/>
      <c r="R37" s="1"/>
      <c r="U37" s="1"/>
    </row>
    <row r="38" spans="1:29">
      <c r="B38" s="65"/>
      <c r="C38" s="44"/>
      <c r="D38" s="44"/>
      <c r="E38" s="76" t="s">
        <v>51</v>
      </c>
      <c r="F38" s="40"/>
      <c r="G38" s="40"/>
      <c r="H38" s="40"/>
      <c r="I38" s="40"/>
      <c r="J38" s="40"/>
      <c r="K38" s="40"/>
      <c r="L38" s="40"/>
      <c r="M38" s="40"/>
      <c r="N38" s="40"/>
      <c r="O38" s="44"/>
      <c r="P38" s="40"/>
      <c r="Q38" s="68"/>
      <c r="R38" s="1"/>
      <c r="U38" s="1"/>
      <c r="AC38" s="17">
        <v>333</v>
      </c>
    </row>
    <row r="39" spans="1:29">
      <c r="B39" s="65"/>
      <c r="C39" s="44"/>
      <c r="D39" s="44"/>
      <c r="E39" s="40"/>
      <c r="F39" s="40"/>
      <c r="G39" s="40"/>
      <c r="H39" s="40"/>
      <c r="I39" s="40"/>
      <c r="J39" s="40"/>
      <c r="K39" s="49"/>
      <c r="L39" s="40"/>
      <c r="M39" s="40"/>
      <c r="N39" s="44"/>
      <c r="O39" s="44"/>
      <c r="P39" s="40"/>
      <c r="Q39" s="68"/>
      <c r="U39" s="1"/>
    </row>
    <row r="40" spans="1:29" hidden="1">
      <c r="B40" s="65"/>
      <c r="C40" s="44"/>
      <c r="D40" s="44"/>
      <c r="E40" s="40"/>
      <c r="F40" s="40"/>
      <c r="G40" s="40"/>
      <c r="H40" s="40"/>
      <c r="I40" s="40"/>
      <c r="J40" s="49"/>
      <c r="K40" s="40"/>
      <c r="L40" s="40"/>
      <c r="M40" s="40"/>
      <c r="N40" s="40"/>
      <c r="O40" s="46"/>
      <c r="P40" s="40"/>
      <c r="Q40" s="68"/>
      <c r="U40" s="1"/>
    </row>
    <row r="41" spans="1:29" hidden="1">
      <c r="B41" s="65"/>
      <c r="C41" s="44"/>
      <c r="D41" s="44"/>
      <c r="E41" s="49" t="s">
        <v>60</v>
      </c>
      <c r="F41" s="45"/>
      <c r="G41" s="45"/>
      <c r="H41" s="45"/>
      <c r="I41" s="45"/>
      <c r="J41" s="49"/>
      <c r="K41" s="40"/>
      <c r="L41" s="40"/>
      <c r="M41" s="40"/>
      <c r="N41" s="44"/>
      <c r="O41" s="46"/>
      <c r="P41" s="40"/>
      <c r="Q41" s="68"/>
      <c r="U41" s="1"/>
    </row>
    <row r="42" spans="1:29" hidden="1">
      <c r="B42" s="65"/>
      <c r="C42" s="44"/>
      <c r="D42" s="44"/>
      <c r="E42" s="40"/>
      <c r="F42" s="40"/>
      <c r="G42" s="40"/>
      <c r="H42" s="40"/>
      <c r="I42" s="40"/>
      <c r="J42" s="49"/>
      <c r="K42" s="40"/>
      <c r="L42" s="40"/>
      <c r="M42" s="40"/>
      <c r="N42" s="40"/>
      <c r="O42" s="46"/>
      <c r="P42" s="40"/>
      <c r="Q42" s="68"/>
      <c r="U42" s="1"/>
    </row>
    <row r="43" spans="1:29" hidden="1">
      <c r="B43" s="65"/>
      <c r="C43" s="44"/>
      <c r="D43" s="44"/>
      <c r="E43" s="40" t="s">
        <v>61</v>
      </c>
      <c r="F43" s="40"/>
      <c r="G43" s="40"/>
      <c r="H43" s="40"/>
      <c r="I43" s="40"/>
      <c r="J43" s="40"/>
      <c r="K43" s="40"/>
      <c r="L43" s="40"/>
      <c r="M43" s="40"/>
      <c r="N43" s="44"/>
      <c r="O43" s="46"/>
      <c r="P43" s="40"/>
      <c r="Q43" s="68"/>
      <c r="U43" s="1"/>
    </row>
    <row r="44" spans="1:29" ht="6.75" customHeight="1">
      <c r="B44" s="65"/>
      <c r="C44" s="66"/>
      <c r="D44" s="64"/>
      <c r="E44" s="64"/>
      <c r="F44" s="64"/>
      <c r="G44" s="64"/>
      <c r="H44" s="64"/>
      <c r="I44" s="64"/>
      <c r="J44" s="64"/>
      <c r="K44" s="67"/>
      <c r="L44" s="64"/>
      <c r="M44" s="64"/>
      <c r="N44" s="64"/>
      <c r="O44" s="64"/>
      <c r="P44" s="64"/>
      <c r="Q44" s="75"/>
      <c r="U44" s="1"/>
    </row>
    <row r="45" spans="1:29">
      <c r="B45" s="40"/>
      <c r="C45" s="40"/>
      <c r="D45" s="40"/>
      <c r="E45" s="435" t="str">
        <f>IF(Annexes!M9=FALSE,"","le CA réalisé sur les activités de vente à distance avec retrait en magasin ou livraison ne sont pas à prendre en compte")</f>
        <v/>
      </c>
      <c r="F45" s="435"/>
      <c r="G45" s="435"/>
      <c r="H45" s="435"/>
      <c r="I45" s="435"/>
      <c r="J45" s="435"/>
      <c r="K45" s="435"/>
      <c r="L45" s="435"/>
      <c r="M45" s="435"/>
      <c r="N45" s="435"/>
      <c r="O45" s="435"/>
      <c r="P45" s="435"/>
      <c r="U45" s="1"/>
    </row>
    <row r="46" spans="1:29">
      <c r="B46" s="40"/>
      <c r="C46" s="40"/>
      <c r="D46" s="40"/>
      <c r="E46" s="40"/>
      <c r="F46" s="40"/>
      <c r="G46" s="40"/>
      <c r="H46" s="40"/>
      <c r="I46" s="40"/>
      <c r="J46" s="40"/>
      <c r="K46" s="49"/>
      <c r="L46" s="40"/>
      <c r="M46" s="40"/>
      <c r="N46" s="40"/>
      <c r="O46" s="40"/>
      <c r="P46" s="40"/>
      <c r="U46" s="1"/>
    </row>
    <row r="47" spans="1:29">
      <c r="B47" s="40"/>
      <c r="C47" s="40"/>
      <c r="D47" s="40"/>
      <c r="E47" s="413" t="s">
        <v>303</v>
      </c>
      <c r="F47" s="413"/>
      <c r="G47" s="413"/>
      <c r="H47" s="413"/>
      <c r="I47" s="413"/>
      <c r="J47" s="413"/>
      <c r="K47" s="40"/>
      <c r="L47" s="40"/>
      <c r="M47" s="40"/>
      <c r="N47" s="40"/>
      <c r="O47" s="40"/>
      <c r="P47" s="40"/>
      <c r="U47" s="1"/>
    </row>
    <row r="48" spans="1:29">
      <c r="B48" s="40"/>
      <c r="C48" s="40"/>
      <c r="D48" s="40"/>
      <c r="E48" s="426" t="str">
        <f>IF(Annexes!M11=FALSE,"","le CA réalisé sur les activités de vente à distance avec retrait en magasin ou livraison ne sont pas à prendre en compte")</f>
        <v/>
      </c>
      <c r="F48" s="426"/>
      <c r="G48" s="426"/>
      <c r="H48" s="426"/>
      <c r="I48" s="426"/>
      <c r="J48" s="426"/>
      <c r="K48" s="426"/>
      <c r="L48" s="426"/>
      <c r="M48" s="426"/>
      <c r="N48" s="426"/>
      <c r="O48" s="426"/>
      <c r="P48" s="426"/>
      <c r="U48" s="1"/>
    </row>
    <row r="49" spans="1:21">
      <c r="B49" s="40"/>
      <c r="C49" s="40"/>
      <c r="D49" s="40"/>
      <c r="E49" s="414" t="s">
        <v>302</v>
      </c>
      <c r="F49" s="414"/>
      <c r="G49" s="414"/>
      <c r="H49" s="414"/>
      <c r="I49" s="414"/>
      <c r="J49" s="414"/>
      <c r="K49" s="40"/>
      <c r="L49" s="40"/>
      <c r="M49" s="40"/>
      <c r="N49" s="40"/>
      <c r="O49" s="40"/>
      <c r="P49" s="40"/>
      <c r="U49" s="1"/>
    </row>
    <row r="50" spans="1:21" ht="22.5" customHeight="1">
      <c r="B50" s="40"/>
      <c r="C50" s="40"/>
      <c r="D50" s="40"/>
      <c r="E50" s="427" t="str">
        <f>IF(Annexes!M15=FALSE,"","le CA réalisé sur les activités de vente à distance avec retrait en magasin ou livraison ne sont pas à prendre en compte pour les fermetures administratives suite au décret n° 2021-32 du 16 Janvier 2021")</f>
        <v/>
      </c>
      <c r="F50" s="427"/>
      <c r="G50" s="427"/>
      <c r="H50" s="427"/>
      <c r="I50" s="427"/>
      <c r="J50" s="427"/>
      <c r="K50" s="427"/>
      <c r="L50" s="427"/>
      <c r="M50" s="427"/>
      <c r="N50" s="427"/>
      <c r="O50" s="427"/>
      <c r="P50" s="427"/>
      <c r="R50" s="2"/>
      <c r="U50" s="1"/>
    </row>
    <row r="51" spans="1:21" ht="15" customHeight="1">
      <c r="B51" s="40"/>
      <c r="C51" s="40"/>
      <c r="D51" s="40"/>
      <c r="E51" s="244"/>
      <c r="F51" s="244"/>
      <c r="G51" s="244"/>
      <c r="H51" s="244"/>
      <c r="I51" s="244"/>
      <c r="J51" s="244"/>
      <c r="K51" s="244"/>
      <c r="L51" s="244"/>
      <c r="M51" s="244"/>
      <c r="N51" s="244"/>
      <c r="O51" s="244"/>
      <c r="P51" s="244"/>
      <c r="R51" s="2"/>
      <c r="U51" s="1"/>
    </row>
    <row r="52" spans="1:21">
      <c r="B52" s="40"/>
      <c r="C52" s="40"/>
      <c r="D52" s="40"/>
      <c r="E52" s="413" t="s">
        <v>300</v>
      </c>
      <c r="F52" s="413"/>
      <c r="G52" s="413"/>
      <c r="H52" s="413"/>
      <c r="I52" s="413"/>
      <c r="J52" s="413"/>
      <c r="K52" s="40"/>
      <c r="L52" s="40"/>
      <c r="M52" s="40"/>
      <c r="N52" s="40"/>
      <c r="O52" s="40"/>
      <c r="P52" s="40"/>
      <c r="U52" s="1"/>
    </row>
    <row r="53" spans="1:21">
      <c r="B53" s="40"/>
      <c r="C53" s="40"/>
      <c r="D53" s="40"/>
      <c r="E53" s="256"/>
      <c r="F53" s="256"/>
      <c r="G53" s="256"/>
      <c r="H53" s="256"/>
      <c r="I53" s="256"/>
      <c r="J53" s="256"/>
      <c r="K53" s="40"/>
      <c r="L53" s="40"/>
      <c r="M53" s="40"/>
      <c r="N53" s="40"/>
      <c r="O53" s="40"/>
      <c r="P53" s="40"/>
      <c r="U53" s="1"/>
    </row>
    <row r="54" spans="1:21">
      <c r="B54" s="40"/>
      <c r="C54" s="40"/>
      <c r="D54" s="40"/>
      <c r="E54" s="418" t="s">
        <v>388</v>
      </c>
      <c r="F54" s="418"/>
      <c r="G54" s="418"/>
      <c r="H54" s="418"/>
      <c r="I54" s="418"/>
      <c r="J54" s="418"/>
      <c r="K54" s="418"/>
      <c r="L54" s="418"/>
      <c r="M54" s="418"/>
      <c r="N54" s="418"/>
      <c r="O54" s="418"/>
      <c r="P54" s="418"/>
      <c r="U54" s="1"/>
    </row>
    <row r="55" spans="1:21">
      <c r="A55" s="297" t="s">
        <v>45</v>
      </c>
      <c r="B55" s="40"/>
      <c r="C55" s="40"/>
      <c r="D55" s="40"/>
      <c r="E55" s="418"/>
      <c r="F55" s="418"/>
      <c r="G55" s="418"/>
      <c r="H55" s="418"/>
      <c r="I55" s="418"/>
      <c r="J55" s="418"/>
      <c r="K55" s="418"/>
      <c r="L55" s="418"/>
      <c r="M55" s="418"/>
      <c r="N55" s="418"/>
      <c r="O55" s="418"/>
      <c r="P55" s="418"/>
      <c r="U55" s="1"/>
    </row>
    <row r="56" spans="1:21">
      <c r="A56" s="297" t="s">
        <v>46</v>
      </c>
      <c r="B56" s="40"/>
      <c r="C56" s="40"/>
      <c r="D56" s="40"/>
      <c r="E56" s="418" t="s">
        <v>387</v>
      </c>
      <c r="F56" s="418"/>
      <c r="G56" s="418"/>
      <c r="H56" s="418"/>
      <c r="I56" s="418"/>
      <c r="J56" s="418"/>
      <c r="K56" s="418"/>
      <c r="L56" s="418"/>
      <c r="M56" s="418"/>
      <c r="N56" s="418"/>
      <c r="O56" s="418"/>
      <c r="P56" s="418"/>
      <c r="U56" s="1"/>
    </row>
    <row r="57" spans="1:21">
      <c r="A57" s="297" t="s">
        <v>47</v>
      </c>
      <c r="B57" s="40"/>
      <c r="C57" s="40"/>
      <c r="D57" s="40"/>
      <c r="E57" s="418"/>
      <c r="F57" s="418"/>
      <c r="G57" s="418"/>
      <c r="H57" s="418"/>
      <c r="I57" s="418"/>
      <c r="J57" s="418"/>
      <c r="K57" s="418"/>
      <c r="L57" s="418"/>
      <c r="M57" s="418"/>
      <c r="N57" s="418"/>
      <c r="O57" s="418"/>
      <c r="P57" s="418"/>
      <c r="U57" s="1"/>
    </row>
    <row r="58" spans="1:21">
      <c r="A58" s="297" t="s">
        <v>48</v>
      </c>
      <c r="B58" s="40"/>
      <c r="C58" s="40"/>
      <c r="D58" s="40"/>
      <c r="E58" s="418" t="s">
        <v>389</v>
      </c>
      <c r="F58" s="418"/>
      <c r="G58" s="418"/>
      <c r="H58" s="418"/>
      <c r="I58" s="418"/>
      <c r="J58" s="418"/>
      <c r="K58" s="418"/>
      <c r="L58" s="418"/>
      <c r="M58" s="418"/>
      <c r="N58" s="418"/>
      <c r="O58" s="418"/>
      <c r="P58" s="418"/>
      <c r="U58" s="1"/>
    </row>
    <row r="59" spans="1:21">
      <c r="A59" s="297" t="s">
        <v>49</v>
      </c>
      <c r="B59" s="40"/>
      <c r="C59" s="40"/>
      <c r="D59" s="40"/>
      <c r="E59" s="418"/>
      <c r="F59" s="418"/>
      <c r="G59" s="418"/>
      <c r="H59" s="418"/>
      <c r="I59" s="418"/>
      <c r="J59" s="418"/>
      <c r="K59" s="418"/>
      <c r="L59" s="418"/>
      <c r="M59" s="418"/>
      <c r="N59" s="418"/>
      <c r="O59" s="418"/>
      <c r="P59" s="418"/>
      <c r="U59" s="1"/>
    </row>
    <row r="60" spans="1:21">
      <c r="B60" s="40"/>
      <c r="C60" s="40"/>
      <c r="D60" s="40"/>
      <c r="E60" s="418" t="s">
        <v>437</v>
      </c>
      <c r="F60" s="418"/>
      <c r="G60" s="418"/>
      <c r="H60" s="418"/>
      <c r="I60" s="418"/>
      <c r="J60" s="418"/>
      <c r="K60" s="418"/>
      <c r="L60" s="418"/>
      <c r="M60" s="418"/>
      <c r="N60" s="418"/>
      <c r="O60" s="418"/>
      <c r="P60" s="418"/>
      <c r="U60" s="1"/>
    </row>
    <row r="61" spans="1:21">
      <c r="B61" s="40"/>
      <c r="C61" s="40"/>
      <c r="D61" s="40"/>
      <c r="E61" s="418"/>
      <c r="F61" s="418"/>
      <c r="G61" s="418"/>
      <c r="H61" s="418"/>
      <c r="I61" s="418"/>
      <c r="J61" s="418"/>
      <c r="K61" s="418"/>
      <c r="L61" s="418"/>
      <c r="M61" s="418"/>
      <c r="N61" s="418"/>
      <c r="O61" s="418"/>
      <c r="P61" s="418"/>
      <c r="U61" s="1"/>
    </row>
    <row r="62" spans="1:21" ht="15" customHeight="1">
      <c r="B62" s="40"/>
      <c r="C62" s="40"/>
      <c r="D62" s="40"/>
      <c r="E62" s="418" t="s">
        <v>438</v>
      </c>
      <c r="F62" s="418"/>
      <c r="G62" s="418"/>
      <c r="H62" s="418"/>
      <c r="I62" s="418"/>
      <c r="J62" s="418"/>
      <c r="K62" s="418"/>
      <c r="L62" s="418"/>
      <c r="M62" s="418"/>
      <c r="N62" s="418"/>
      <c r="O62" s="418"/>
      <c r="P62" s="418"/>
      <c r="U62" s="1"/>
    </row>
    <row r="63" spans="1:21">
      <c r="B63" s="40"/>
      <c r="C63" s="40"/>
      <c r="D63" s="40"/>
      <c r="E63" s="418"/>
      <c r="F63" s="418"/>
      <c r="G63" s="418"/>
      <c r="H63" s="418"/>
      <c r="I63" s="418"/>
      <c r="J63" s="418"/>
      <c r="K63" s="418"/>
      <c r="L63" s="418"/>
      <c r="M63" s="418"/>
      <c r="N63" s="418"/>
      <c r="O63" s="418"/>
      <c r="P63" s="418"/>
      <c r="U63" s="1"/>
    </row>
    <row r="64" spans="1:21">
      <c r="B64" s="40"/>
      <c r="C64" s="40"/>
      <c r="D64" s="40"/>
      <c r="E64" s="418" t="s">
        <v>457</v>
      </c>
      <c r="F64" s="418"/>
      <c r="G64" s="418"/>
      <c r="H64" s="418"/>
      <c r="I64" s="418"/>
      <c r="J64" s="418"/>
      <c r="K64" s="418"/>
      <c r="L64" s="418"/>
      <c r="M64" s="418"/>
      <c r="N64" s="418"/>
      <c r="O64" s="418"/>
      <c r="P64" s="418"/>
      <c r="U64" s="1"/>
    </row>
    <row r="65" spans="2:21">
      <c r="B65" s="40"/>
      <c r="C65" s="40"/>
      <c r="D65" s="40"/>
      <c r="E65" s="418"/>
      <c r="F65" s="418"/>
      <c r="G65" s="418"/>
      <c r="H65" s="418"/>
      <c r="I65" s="418"/>
      <c r="J65" s="418"/>
      <c r="K65" s="418"/>
      <c r="L65" s="418"/>
      <c r="M65" s="418"/>
      <c r="N65" s="418"/>
      <c r="O65" s="418"/>
      <c r="P65" s="418"/>
      <c r="U65" s="1"/>
    </row>
    <row r="66" spans="2:21">
      <c r="B66" s="40"/>
      <c r="C66" s="40"/>
      <c r="D66" s="40"/>
      <c r="E66" s="418" t="s">
        <v>456</v>
      </c>
      <c r="F66" s="418"/>
      <c r="G66" s="418"/>
      <c r="H66" s="418"/>
      <c r="I66" s="418"/>
      <c r="J66" s="418"/>
      <c r="K66" s="418"/>
      <c r="L66" s="418"/>
      <c r="M66" s="418"/>
      <c r="N66" s="418"/>
      <c r="O66" s="418"/>
      <c r="P66" s="418"/>
      <c r="U66" s="1"/>
    </row>
    <row r="67" spans="2:21">
      <c r="B67" s="40"/>
      <c r="C67" s="40"/>
      <c r="D67" s="40"/>
      <c r="E67" s="418"/>
      <c r="F67" s="418"/>
      <c r="G67" s="418"/>
      <c r="H67" s="418"/>
      <c r="I67" s="418"/>
      <c r="J67" s="418"/>
      <c r="K67" s="418"/>
      <c r="L67" s="418"/>
      <c r="M67" s="418"/>
      <c r="N67" s="418"/>
      <c r="O67" s="418"/>
      <c r="P67" s="418"/>
      <c r="U67" s="1"/>
    </row>
    <row r="68" spans="2:21">
      <c r="B68" s="40"/>
      <c r="C68" s="40"/>
      <c r="D68" s="40"/>
      <c r="E68" s="418" t="s">
        <v>472</v>
      </c>
      <c r="F68" s="418"/>
      <c r="G68" s="418"/>
      <c r="H68" s="418"/>
      <c r="I68" s="418"/>
      <c r="J68" s="418"/>
      <c r="K68" s="418"/>
      <c r="L68" s="418"/>
      <c r="M68" s="418"/>
      <c r="N68" s="418"/>
      <c r="O68" s="418"/>
      <c r="P68" s="418"/>
      <c r="U68" s="1"/>
    </row>
    <row r="69" spans="2:21">
      <c r="B69" s="40"/>
      <c r="C69" s="40"/>
      <c r="D69" s="40"/>
      <c r="E69" s="418"/>
      <c r="F69" s="418"/>
      <c r="G69" s="418"/>
      <c r="H69" s="418"/>
      <c r="I69" s="418"/>
      <c r="J69" s="418"/>
      <c r="K69" s="418"/>
      <c r="L69" s="418"/>
      <c r="M69" s="418"/>
      <c r="N69" s="418"/>
      <c r="O69" s="418"/>
      <c r="P69" s="418"/>
      <c r="U69" s="1"/>
    </row>
    <row r="70" spans="2:21">
      <c r="B70" s="40"/>
      <c r="C70" s="40"/>
      <c r="D70" s="40"/>
      <c r="E70" s="418" t="s">
        <v>486</v>
      </c>
      <c r="F70" s="418"/>
      <c r="G70" s="418"/>
      <c r="H70" s="418"/>
      <c r="I70" s="418"/>
      <c r="J70" s="418"/>
      <c r="K70" s="418"/>
      <c r="L70" s="418"/>
      <c r="M70" s="418"/>
      <c r="N70" s="418"/>
      <c r="O70" s="418"/>
      <c r="P70" s="418"/>
      <c r="U70" s="1"/>
    </row>
    <row r="71" spans="2:21">
      <c r="B71" s="40"/>
      <c r="C71" s="40"/>
      <c r="D71" s="40"/>
      <c r="E71" s="418"/>
      <c r="F71" s="418"/>
      <c r="G71" s="418"/>
      <c r="H71" s="418"/>
      <c r="I71" s="418"/>
      <c r="J71" s="418"/>
      <c r="K71" s="418"/>
      <c r="L71" s="418"/>
      <c r="M71" s="418"/>
      <c r="N71" s="418"/>
      <c r="O71" s="418"/>
      <c r="P71" s="418"/>
      <c r="U71" s="1"/>
    </row>
    <row r="72" spans="2:21">
      <c r="B72" s="40"/>
      <c r="C72" s="40"/>
      <c r="D72" s="40"/>
      <c r="E72" s="418" t="s">
        <v>473</v>
      </c>
      <c r="F72" s="418"/>
      <c r="G72" s="418"/>
      <c r="H72" s="418"/>
      <c r="I72" s="418"/>
      <c r="J72" s="418"/>
      <c r="K72" s="418"/>
      <c r="L72" s="418"/>
      <c r="M72" s="418"/>
      <c r="N72" s="418"/>
      <c r="O72" s="418"/>
      <c r="P72" s="418"/>
      <c r="U72" s="1"/>
    </row>
    <row r="73" spans="2:21">
      <c r="B73" s="40"/>
      <c r="C73" s="40"/>
      <c r="D73" s="40"/>
      <c r="E73" s="418"/>
      <c r="F73" s="418"/>
      <c r="G73" s="418"/>
      <c r="H73" s="418"/>
      <c r="I73" s="418"/>
      <c r="J73" s="418"/>
      <c r="K73" s="418"/>
      <c r="L73" s="418"/>
      <c r="M73" s="418"/>
      <c r="N73" s="418"/>
      <c r="O73" s="418"/>
      <c r="P73" s="418"/>
      <c r="U73" s="1"/>
    </row>
    <row r="74" spans="2:21">
      <c r="B74" s="40"/>
      <c r="C74" s="40"/>
      <c r="D74" s="40"/>
      <c r="E74" s="414" t="s">
        <v>487</v>
      </c>
      <c r="F74" s="414"/>
      <c r="G74" s="414"/>
      <c r="H74" s="414"/>
      <c r="I74" s="414"/>
      <c r="J74" s="414"/>
      <c r="K74" s="414"/>
      <c r="L74" s="375"/>
      <c r="M74" s="375"/>
      <c r="N74" s="375"/>
      <c r="O74" s="375"/>
      <c r="P74" s="375"/>
      <c r="U74" s="1"/>
    </row>
    <row r="75" spans="2:21">
      <c r="B75" s="40"/>
      <c r="C75" s="40"/>
      <c r="D75" s="40"/>
      <c r="E75" s="375"/>
      <c r="F75" s="375"/>
      <c r="G75" s="375"/>
      <c r="H75" s="375"/>
      <c r="I75" s="375"/>
      <c r="J75" s="375"/>
      <c r="K75" s="375"/>
      <c r="L75" s="375"/>
      <c r="M75" s="375"/>
      <c r="N75" s="375"/>
      <c r="O75" s="375"/>
      <c r="P75" s="375"/>
      <c r="U75" s="1"/>
    </row>
    <row r="76" spans="2:21">
      <c r="B76" s="40"/>
      <c r="C76" s="40"/>
      <c r="D76" s="40"/>
      <c r="E76" s="418" t="s">
        <v>501</v>
      </c>
      <c r="F76" s="418"/>
      <c r="G76" s="418"/>
      <c r="H76" s="418"/>
      <c r="I76" s="418"/>
      <c r="J76" s="418"/>
      <c r="K76" s="418"/>
      <c r="L76" s="418"/>
      <c r="M76" s="418"/>
      <c r="N76" s="418"/>
      <c r="O76" s="418"/>
      <c r="P76" s="418"/>
      <c r="U76" s="1"/>
    </row>
    <row r="77" spans="2:21">
      <c r="B77" s="40"/>
      <c r="C77" s="40"/>
      <c r="D77" s="40"/>
      <c r="E77" s="418"/>
      <c r="F77" s="418"/>
      <c r="G77" s="418"/>
      <c r="H77" s="418"/>
      <c r="I77" s="418"/>
      <c r="J77" s="418"/>
      <c r="K77" s="418"/>
      <c r="L77" s="418"/>
      <c r="M77" s="418"/>
      <c r="N77" s="418"/>
      <c r="O77" s="418"/>
      <c r="P77" s="418"/>
      <c r="U77" s="1"/>
    </row>
    <row r="78" spans="2:21" ht="15" customHeight="1">
      <c r="B78" s="40"/>
      <c r="C78" s="40"/>
      <c r="D78" s="40"/>
      <c r="E78" s="418" t="s">
        <v>508</v>
      </c>
      <c r="F78" s="418"/>
      <c r="G78" s="418"/>
      <c r="H78" s="418"/>
      <c r="I78" s="418"/>
      <c r="J78" s="418"/>
      <c r="K78" s="418"/>
      <c r="L78" s="418"/>
      <c r="M78" s="418"/>
      <c r="N78" s="418"/>
      <c r="O78" s="418"/>
      <c r="P78" s="418"/>
      <c r="U78" s="1"/>
    </row>
    <row r="79" spans="2:21">
      <c r="B79" s="40"/>
      <c r="C79" s="40"/>
      <c r="D79" s="40"/>
      <c r="E79" s="418"/>
      <c r="F79" s="418"/>
      <c r="G79" s="418"/>
      <c r="H79" s="418"/>
      <c r="I79" s="418"/>
      <c r="J79" s="418"/>
      <c r="K79" s="418"/>
      <c r="L79" s="418"/>
      <c r="M79" s="418"/>
      <c r="N79" s="418"/>
      <c r="O79" s="418"/>
      <c r="P79" s="418"/>
      <c r="U79" s="1"/>
    </row>
    <row r="80" spans="2:21" ht="15" customHeight="1">
      <c r="B80" s="40"/>
      <c r="C80" s="40"/>
      <c r="D80" s="40"/>
      <c r="E80" s="418" t="s">
        <v>507</v>
      </c>
      <c r="F80" s="418"/>
      <c r="G80" s="418"/>
      <c r="H80" s="418"/>
      <c r="I80" s="418"/>
      <c r="J80" s="418"/>
      <c r="K80" s="418"/>
      <c r="L80" s="418"/>
      <c r="M80" s="418"/>
      <c r="N80" s="418"/>
      <c r="O80" s="418"/>
      <c r="P80" s="418"/>
      <c r="U80" s="1"/>
    </row>
    <row r="81" spans="2:23" ht="15" customHeight="1">
      <c r="B81" s="40"/>
      <c r="C81" s="40"/>
      <c r="D81" s="40"/>
      <c r="E81" s="418"/>
      <c r="F81" s="418"/>
      <c r="G81" s="418"/>
      <c r="H81" s="418"/>
      <c r="I81" s="418"/>
      <c r="J81" s="418"/>
      <c r="K81" s="418"/>
      <c r="L81" s="418"/>
      <c r="M81" s="418"/>
      <c r="N81" s="418"/>
      <c r="O81" s="418"/>
      <c r="P81" s="418"/>
      <c r="U81" s="1"/>
    </row>
    <row r="82" spans="2:23" ht="15" customHeight="1">
      <c r="B82" s="40"/>
      <c r="C82" s="40"/>
      <c r="D82" s="40"/>
      <c r="E82" s="418" t="s">
        <v>545</v>
      </c>
      <c r="F82" s="418"/>
      <c r="G82" s="418"/>
      <c r="H82" s="418"/>
      <c r="I82" s="418"/>
      <c r="J82" s="418"/>
      <c r="K82" s="418"/>
      <c r="L82" s="418"/>
      <c r="M82" s="418"/>
      <c r="N82" s="418"/>
      <c r="O82" s="418"/>
      <c r="P82" s="418"/>
      <c r="U82" s="1"/>
    </row>
    <row r="83" spans="2:23" ht="15" customHeight="1">
      <c r="B83" s="40"/>
      <c r="C83" s="40"/>
      <c r="D83" s="40"/>
      <c r="E83" s="418"/>
      <c r="F83" s="418"/>
      <c r="G83" s="418"/>
      <c r="H83" s="418"/>
      <c r="I83" s="418"/>
      <c r="J83" s="418"/>
      <c r="K83" s="418"/>
      <c r="L83" s="418"/>
      <c r="M83" s="418"/>
      <c r="N83" s="418"/>
      <c r="O83" s="418"/>
      <c r="P83" s="418"/>
      <c r="U83" s="1"/>
    </row>
    <row r="84" spans="2:23" ht="15" customHeight="1">
      <c r="B84" s="40"/>
      <c r="C84" s="40"/>
      <c r="D84" s="40"/>
      <c r="E84" s="418" t="s">
        <v>546</v>
      </c>
      <c r="F84" s="418"/>
      <c r="G84" s="418"/>
      <c r="H84" s="418"/>
      <c r="I84" s="418"/>
      <c r="J84" s="418"/>
      <c r="K84" s="418"/>
      <c r="L84" s="418"/>
      <c r="M84" s="418"/>
      <c r="N84" s="418"/>
      <c r="O84" s="418"/>
      <c r="P84" s="418"/>
      <c r="U84" s="1"/>
    </row>
    <row r="85" spans="2:23" ht="15" customHeight="1">
      <c r="B85" s="40"/>
      <c r="C85" s="40"/>
      <c r="D85" s="40"/>
      <c r="E85" s="418"/>
      <c r="F85" s="418"/>
      <c r="G85" s="418"/>
      <c r="H85" s="418"/>
      <c r="I85" s="418"/>
      <c r="J85" s="418"/>
      <c r="K85" s="418"/>
      <c r="L85" s="418"/>
      <c r="M85" s="418"/>
      <c r="N85" s="418"/>
      <c r="O85" s="418"/>
      <c r="P85" s="418"/>
      <c r="U85" s="1"/>
    </row>
    <row r="86" spans="2:23" ht="15" customHeight="1">
      <c r="B86" s="40"/>
      <c r="C86" s="40"/>
      <c r="D86" s="40"/>
      <c r="E86" s="418" t="s">
        <v>547</v>
      </c>
      <c r="F86" s="418"/>
      <c r="G86" s="418"/>
      <c r="H86" s="418"/>
      <c r="I86" s="418"/>
      <c r="J86" s="418"/>
      <c r="K86" s="418"/>
      <c r="L86" s="418"/>
      <c r="M86" s="418"/>
      <c r="N86" s="418"/>
      <c r="O86" s="418"/>
      <c r="P86" s="418"/>
      <c r="U86" s="1"/>
    </row>
    <row r="87" spans="2:23">
      <c r="B87" s="40"/>
      <c r="C87" s="40"/>
      <c r="D87" s="40"/>
      <c r="E87" s="418"/>
      <c r="F87" s="418"/>
      <c r="G87" s="418"/>
      <c r="H87" s="418"/>
      <c r="I87" s="418"/>
      <c r="J87" s="418"/>
      <c r="K87" s="418"/>
      <c r="L87" s="418"/>
      <c r="M87" s="418"/>
      <c r="N87" s="418"/>
      <c r="O87" s="418"/>
      <c r="P87" s="418"/>
      <c r="U87" s="1"/>
    </row>
    <row r="88" spans="2:23">
      <c r="B88" s="40"/>
      <c r="C88" s="40"/>
      <c r="D88" s="40"/>
      <c r="E88" s="375"/>
      <c r="F88" s="375"/>
      <c r="G88" s="375"/>
      <c r="H88" s="375"/>
      <c r="I88" s="375"/>
      <c r="J88" s="375"/>
      <c r="K88" s="375"/>
      <c r="L88" s="375"/>
      <c r="M88" s="375"/>
      <c r="N88" s="375"/>
      <c r="O88" s="375"/>
      <c r="P88" s="375"/>
      <c r="U88" s="1"/>
    </row>
    <row r="89" spans="2:23">
      <c r="B89" s="40"/>
      <c r="C89" s="40"/>
      <c r="D89" s="40"/>
      <c r="E89" s="288"/>
      <c r="F89" s="243"/>
      <c r="G89" s="243"/>
      <c r="H89" s="243"/>
      <c r="I89" s="243"/>
      <c r="J89" s="243"/>
      <c r="K89" s="40"/>
      <c r="L89" s="40"/>
      <c r="M89" s="40"/>
      <c r="N89" s="40"/>
      <c r="O89" s="40"/>
      <c r="P89" s="40"/>
      <c r="U89" s="1"/>
    </row>
    <row r="90" spans="2:23">
      <c r="B90" s="40"/>
      <c r="C90" s="64"/>
      <c r="D90" s="64"/>
      <c r="E90" s="413" t="s">
        <v>43</v>
      </c>
      <c r="F90" s="413"/>
      <c r="G90" s="156"/>
      <c r="H90" s="156"/>
      <c r="I90" s="156"/>
      <c r="J90" s="156"/>
      <c r="K90" s="64"/>
      <c r="L90" s="64"/>
      <c r="M90" s="64"/>
      <c r="N90" s="64"/>
      <c r="O90" s="64"/>
      <c r="P90" s="64"/>
      <c r="Q90" s="78"/>
      <c r="S90" s="78"/>
      <c r="T90" s="149" t="s">
        <v>90</v>
      </c>
      <c r="U90" s="78"/>
      <c r="V90" s="78"/>
      <c r="W90" s="78"/>
    </row>
    <row r="91" spans="2:23">
      <c r="B91" s="65"/>
      <c r="C91" s="44"/>
      <c r="D91" s="44"/>
      <c r="E91" s="45"/>
      <c r="F91" s="40"/>
      <c r="G91" s="44"/>
      <c r="H91" s="44"/>
      <c r="I91" s="44"/>
      <c r="J91" s="86"/>
      <c r="K91" s="44"/>
      <c r="L91" s="44"/>
      <c r="M91" s="44"/>
      <c r="N91" s="44"/>
      <c r="O91" s="44"/>
      <c r="P91" s="44"/>
      <c r="Q91" s="70"/>
      <c r="R91" s="150"/>
      <c r="S91" s="397"/>
      <c r="T91" s="398"/>
      <c r="U91" s="398"/>
      <c r="V91" s="398"/>
      <c r="W91" s="399"/>
    </row>
    <row r="92" spans="2:23">
      <c r="B92" s="65"/>
      <c r="C92" s="44"/>
      <c r="D92" s="44"/>
      <c r="E92" s="56" t="s">
        <v>52</v>
      </c>
      <c r="F92" s="45"/>
      <c r="G92" s="45"/>
      <c r="H92" s="45"/>
      <c r="I92" s="45"/>
      <c r="J92" s="45"/>
      <c r="K92" s="40"/>
      <c r="L92" s="40"/>
      <c r="M92" s="40"/>
      <c r="N92" s="40"/>
      <c r="O92" s="40"/>
      <c r="P92" s="40"/>
      <c r="Q92" s="68"/>
      <c r="R92" s="150"/>
      <c r="S92" s="397"/>
      <c r="T92" s="398"/>
      <c r="U92" s="398"/>
      <c r="V92" s="398"/>
      <c r="W92" s="399"/>
    </row>
    <row r="93" spans="2:23">
      <c r="B93" s="65"/>
      <c r="C93" s="44"/>
      <c r="D93" s="44"/>
      <c r="E93" s="198"/>
      <c r="F93" s="199"/>
      <c r="G93" s="199"/>
      <c r="H93" s="199"/>
      <c r="I93" s="199"/>
      <c r="J93" s="199"/>
      <c r="K93" s="40"/>
      <c r="L93" s="40"/>
      <c r="M93" s="40"/>
      <c r="N93" s="40"/>
      <c r="O93" s="40"/>
      <c r="P93" s="40"/>
      <c r="Q93" s="68"/>
      <c r="R93" s="150"/>
      <c r="S93" s="397"/>
      <c r="T93" s="398"/>
      <c r="U93" s="398"/>
      <c r="V93" s="398"/>
      <c r="W93" s="399"/>
    </row>
    <row r="94" spans="2:23">
      <c r="B94" s="65"/>
      <c r="C94" s="44"/>
      <c r="D94" s="44"/>
      <c r="E94" s="198"/>
      <c r="F94" s="199"/>
      <c r="G94" s="199"/>
      <c r="H94" s="199"/>
      <c r="I94" s="200" t="s">
        <v>87</v>
      </c>
      <c r="J94" s="199"/>
      <c r="K94" s="40"/>
      <c r="L94" s="407" t="s">
        <v>88</v>
      </c>
      <c r="M94" s="407"/>
      <c r="N94" s="407"/>
      <c r="O94" s="407"/>
      <c r="P94" s="40"/>
      <c r="Q94" s="68"/>
      <c r="R94" s="150"/>
      <c r="S94" s="397"/>
      <c r="T94" s="398"/>
      <c r="U94" s="398"/>
      <c r="V94" s="398"/>
      <c r="W94" s="399"/>
    </row>
    <row r="95" spans="2:23" ht="15.75" thickBot="1">
      <c r="B95" s="65"/>
      <c r="C95" s="44"/>
      <c r="D95" s="44"/>
      <c r="E95" s="198"/>
      <c r="F95" s="199"/>
      <c r="G95" s="199"/>
      <c r="H95" s="199"/>
      <c r="I95" s="199"/>
      <c r="J95" s="199"/>
      <c r="K95" s="40"/>
      <c r="L95" s="40"/>
      <c r="M95" s="40"/>
      <c r="N95" s="40"/>
      <c r="O95" s="278"/>
      <c r="P95" s="278"/>
      <c r="Q95" s="68"/>
      <c r="R95" s="150"/>
      <c r="S95" s="397"/>
      <c r="T95" s="398"/>
      <c r="U95" s="398"/>
      <c r="V95" s="398"/>
      <c r="W95" s="399"/>
    </row>
    <row r="96" spans="2:23" ht="15.75" customHeight="1" thickBot="1">
      <c r="B96" s="65"/>
      <c r="C96" s="44"/>
      <c r="D96" s="44"/>
      <c r="E96" s="400" t="s">
        <v>110</v>
      </c>
      <c r="F96" s="400"/>
      <c r="G96" s="400"/>
      <c r="H96" s="45"/>
      <c r="I96" s="114">
        <v>0</v>
      </c>
      <c r="J96" s="202" t="str">
        <f>IF('Mon Entreprise'!K8&lt;Annexes!O17,"*","")</f>
        <v>*</v>
      </c>
      <c r="K96" s="44"/>
      <c r="L96" s="40"/>
      <c r="M96" s="114">
        <v>0</v>
      </c>
      <c r="N96" s="40"/>
      <c r="O96" s="278"/>
      <c r="P96" s="278"/>
      <c r="Q96" s="68"/>
      <c r="R96" s="150"/>
      <c r="S96" s="397"/>
      <c r="T96" s="398"/>
      <c r="U96" s="398"/>
      <c r="V96" s="398"/>
      <c r="W96" s="399"/>
    </row>
    <row r="97" spans="2:23">
      <c r="B97" s="65"/>
      <c r="C97" s="44"/>
      <c r="D97" s="44"/>
      <c r="E97" s="98" t="str">
        <f>IF(K8&lt;Annexes!O14,"","En cas de création d'activité après le 01 Janvier 2019, veuillez également vous reporter en bas du tableau...")</f>
        <v/>
      </c>
      <c r="F97" s="45"/>
      <c r="G97" s="45"/>
      <c r="H97" s="45"/>
      <c r="I97" s="45"/>
      <c r="J97" s="203"/>
      <c r="K97" s="44"/>
      <c r="L97" s="40"/>
      <c r="M97" s="99"/>
      <c r="N97" s="40"/>
      <c r="O97" s="278"/>
      <c r="P97" s="278"/>
      <c r="Q97" s="68"/>
      <c r="R97" s="151"/>
      <c r="S97" s="397"/>
      <c r="T97" s="398"/>
      <c r="U97" s="398"/>
      <c r="V97" s="398"/>
      <c r="W97" s="399"/>
    </row>
    <row r="98" spans="2:23">
      <c r="B98" s="65"/>
      <c r="C98" s="44"/>
      <c r="D98" s="44"/>
      <c r="E98" s="40"/>
      <c r="F98" s="425" t="str">
        <f>IF(K8&lt;Annexes!O28,"CA moyen sur un mois :","")</f>
        <v>CA moyen sur un mois :</v>
      </c>
      <c r="G98" s="425"/>
      <c r="H98" s="425"/>
      <c r="I98" s="50">
        <f>IF(AND(K8&gt;Annexes!O14,K8&lt;Annexes!O28),I96*360/(Annexes!O28-K8+1)/12,I96/12)</f>
        <v>0</v>
      </c>
      <c r="J98" s="204"/>
      <c r="K98" s="44"/>
      <c r="L98" s="40"/>
      <c r="M98" s="54">
        <f>IF(AND(K8&gt;Annexes!O14,K8&lt;Annexes!O20),M96*360/(Annexes!O28-K8+1)/12,M96/12)</f>
        <v>0</v>
      </c>
      <c r="N98" s="40"/>
      <c r="O98" s="278"/>
      <c r="P98" s="278"/>
      <c r="Q98" s="68"/>
      <c r="R98" s="150"/>
      <c r="S98" s="397"/>
      <c r="T98" s="398"/>
      <c r="U98" s="398"/>
      <c r="V98" s="398"/>
      <c r="W98" s="399"/>
    </row>
    <row r="99" spans="2:23">
      <c r="B99" s="65"/>
      <c r="C99" s="44"/>
      <c r="D99" s="44"/>
      <c r="E99" s="64"/>
      <c r="F99" s="64"/>
      <c r="G99" s="64"/>
      <c r="H99" s="64"/>
      <c r="I99" s="64"/>
      <c r="J99" s="64"/>
      <c r="K99" s="64"/>
      <c r="L99" s="64"/>
      <c r="M99" s="64"/>
      <c r="N99" s="64"/>
      <c r="O99" s="40"/>
      <c r="P99" s="40"/>
      <c r="Q99" s="68"/>
      <c r="R99" s="150"/>
      <c r="S99" s="397"/>
      <c r="T99" s="398"/>
      <c r="U99" s="398"/>
      <c r="V99" s="398"/>
      <c r="W99" s="399"/>
    </row>
    <row r="100" spans="2:23" ht="15.75" customHeight="1">
      <c r="B100" s="65"/>
      <c r="C100" s="44"/>
      <c r="D100" s="44"/>
      <c r="E100" s="44"/>
      <c r="F100" s="44"/>
      <c r="G100" s="44"/>
      <c r="H100" s="44"/>
      <c r="I100" s="44"/>
      <c r="J100" s="44"/>
      <c r="K100" s="44"/>
      <c r="L100" s="44"/>
      <c r="M100" s="44"/>
      <c r="N100" s="44"/>
      <c r="O100" s="40"/>
      <c r="P100" s="40"/>
      <c r="Q100" s="68"/>
      <c r="R100" s="150"/>
      <c r="S100" s="397"/>
      <c r="T100" s="398"/>
      <c r="U100" s="398"/>
      <c r="V100" s="398"/>
      <c r="W100" s="399"/>
    </row>
    <row r="101" spans="2:23" ht="15.75" customHeight="1">
      <c r="B101" s="65"/>
      <c r="C101" s="44"/>
      <c r="D101" s="44"/>
      <c r="E101" s="44"/>
      <c r="F101" s="44"/>
      <c r="G101" s="44"/>
      <c r="H101" s="44"/>
      <c r="I101" s="44"/>
      <c r="J101" s="44"/>
      <c r="K101" s="44"/>
      <c r="L101" s="44"/>
      <c r="M101" s="44"/>
      <c r="N101" s="44"/>
      <c r="O101" s="40"/>
      <c r="P101" s="40"/>
      <c r="Q101" s="68"/>
      <c r="R101" s="150"/>
      <c r="S101" s="397"/>
      <c r="T101" s="398"/>
      <c r="U101" s="398"/>
      <c r="V101" s="398"/>
      <c r="W101" s="399"/>
    </row>
    <row r="102" spans="2:23">
      <c r="B102" s="65"/>
      <c r="C102" s="44"/>
      <c r="D102" s="44"/>
      <c r="E102" s="417" t="s">
        <v>44</v>
      </c>
      <c r="F102" s="417"/>
      <c r="G102" s="417"/>
      <c r="H102" s="417"/>
      <c r="I102" s="417"/>
      <c r="J102" s="417"/>
      <c r="K102" s="433" t="s">
        <v>116</v>
      </c>
      <c r="L102" s="434"/>
      <c r="M102" s="434"/>
      <c r="N102" s="434"/>
      <c r="O102" s="434"/>
      <c r="P102" s="434"/>
      <c r="Q102" s="68"/>
      <c r="R102" s="150"/>
      <c r="S102" s="397"/>
      <c r="T102" s="398"/>
      <c r="U102" s="398"/>
      <c r="V102" s="398"/>
      <c r="W102" s="399"/>
    </row>
    <row r="103" spans="2:23">
      <c r="B103" s="65"/>
      <c r="C103" s="44"/>
      <c r="D103" s="44"/>
      <c r="E103" s="209"/>
      <c r="F103" s="209"/>
      <c r="G103" s="209"/>
      <c r="H103" s="209"/>
      <c r="I103" s="209"/>
      <c r="J103" s="219"/>
      <c r="K103" s="433"/>
      <c r="L103" s="434"/>
      <c r="M103" s="434"/>
      <c r="N103" s="434"/>
      <c r="O103" s="434"/>
      <c r="P103" s="434"/>
      <c r="Q103" s="68"/>
      <c r="R103" s="150"/>
      <c r="S103" s="397"/>
      <c r="T103" s="398"/>
      <c r="U103" s="398"/>
      <c r="V103" s="398"/>
      <c r="W103" s="399"/>
    </row>
    <row r="104" spans="2:23">
      <c r="B104" s="65"/>
      <c r="C104" s="44"/>
      <c r="D104" s="44"/>
      <c r="E104" s="40"/>
      <c r="F104" s="49"/>
      <c r="G104" s="49"/>
      <c r="H104" s="407" t="s">
        <v>87</v>
      </c>
      <c r="I104" s="407"/>
      <c r="J104" s="407"/>
      <c r="K104" s="184"/>
      <c r="L104" s="407" t="s">
        <v>88</v>
      </c>
      <c r="M104" s="407"/>
      <c r="N104" s="407"/>
      <c r="O104" s="407"/>
      <c r="P104" s="49"/>
      <c r="Q104" s="68"/>
      <c r="R104" s="150"/>
      <c r="S104" s="397"/>
      <c r="T104" s="398"/>
      <c r="U104" s="398"/>
      <c r="V104" s="398"/>
      <c r="W104" s="399"/>
    </row>
    <row r="105" spans="2:23" ht="15.75" thickBot="1">
      <c r="B105" s="65"/>
      <c r="C105" s="44"/>
      <c r="D105" s="44"/>
      <c r="E105" s="40"/>
      <c r="F105" s="40"/>
      <c r="G105" s="40"/>
      <c r="H105" s="40"/>
      <c r="I105" s="40"/>
      <c r="J105" s="65"/>
      <c r="K105" s="44"/>
      <c r="L105" s="40"/>
      <c r="M105" s="40"/>
      <c r="N105" s="40"/>
      <c r="O105" s="40"/>
      <c r="P105" s="40"/>
      <c r="Q105" s="68"/>
      <c r="R105" s="150"/>
      <c r="S105" s="397"/>
      <c r="T105" s="398"/>
      <c r="U105" s="398"/>
      <c r="V105" s="398"/>
      <c r="W105" s="399"/>
    </row>
    <row r="106" spans="2:23" ht="15" customHeight="1" thickBot="1">
      <c r="B106" s="65"/>
      <c r="C106" s="44"/>
      <c r="D106" s="44"/>
      <c r="E106" s="158" t="str">
        <f>IF(Annexes!M9=FALSE,"- Fermeture en Septembre :",IF(Annexes!M4=1,"- Fermeture en Septembre :","- Septembre sur le nb de jours :"))</f>
        <v>- Fermeture en Septembre :</v>
      </c>
      <c r="F106" s="158"/>
      <c r="G106" s="158"/>
      <c r="H106" s="40"/>
      <c r="I106" s="114">
        <v>0</v>
      </c>
      <c r="J106" s="65"/>
      <c r="K106" s="44"/>
      <c r="L106" s="40"/>
      <c r="M106" s="114">
        <v>0</v>
      </c>
      <c r="N106" s="90"/>
      <c r="O106" s="40"/>
      <c r="P106" s="136"/>
      <c r="Q106" s="68"/>
      <c r="R106" s="150"/>
      <c r="S106" s="397"/>
      <c r="T106" s="398"/>
      <c r="U106" s="398"/>
      <c r="V106" s="398"/>
      <c r="W106" s="399"/>
    </row>
    <row r="107" spans="2:23">
      <c r="B107" s="65"/>
      <c r="C107" s="44"/>
      <c r="D107" s="44"/>
      <c r="E107" s="411" t="str">
        <f>IF(Annexes!M9=FALSE,"Non-Concerné",IF(Annexes!M4=1,"Non-Concerné","Seulement le CA sur le nombre de jours de fermeture administrative"))</f>
        <v>Non-Concerné</v>
      </c>
      <c r="F107" s="411"/>
      <c r="G107" s="411"/>
      <c r="H107" s="411"/>
      <c r="I107" s="411"/>
      <c r="J107" s="412"/>
      <c r="K107" s="44"/>
      <c r="L107" s="40"/>
      <c r="M107" s="51"/>
      <c r="N107" s="40"/>
      <c r="O107" s="40"/>
      <c r="P107" s="136"/>
      <c r="Q107" s="68"/>
      <c r="R107" s="150"/>
      <c r="S107" s="397"/>
      <c r="T107" s="398"/>
      <c r="U107" s="398"/>
      <c r="V107" s="398"/>
      <c r="W107" s="399"/>
    </row>
    <row r="108" spans="2:23" ht="15.75" customHeight="1" thickBot="1">
      <c r="B108" s="65"/>
      <c r="C108" s="44"/>
      <c r="D108" s="44"/>
      <c r="E108" s="52"/>
      <c r="F108" s="52"/>
      <c r="G108" s="52"/>
      <c r="H108" s="52"/>
      <c r="I108" s="52"/>
      <c r="J108" s="65"/>
      <c r="K108" s="44"/>
      <c r="L108" s="40"/>
      <c r="M108" s="51"/>
      <c r="N108" s="40"/>
      <c r="O108" s="40"/>
      <c r="P108" s="136"/>
      <c r="Q108" s="68"/>
      <c r="R108" s="150"/>
      <c r="S108" s="397"/>
      <c r="T108" s="398"/>
      <c r="U108" s="398"/>
      <c r="V108" s="398"/>
      <c r="W108" s="399"/>
    </row>
    <row r="109" spans="2:23" ht="15.75" thickBot="1">
      <c r="B109" s="65"/>
      <c r="C109" s="44"/>
      <c r="D109" s="44"/>
      <c r="E109" s="160" t="str">
        <f>IF(Annexes!M9=FALSE,"- Fermeture en Octobre :",IF(Annexes!M6=1,"- Fermeture en Octobre :","- Octobre sur le nb de jours :"))</f>
        <v>- Fermeture en Octobre :</v>
      </c>
      <c r="F109" s="159"/>
      <c r="G109" s="159"/>
      <c r="H109" s="52"/>
      <c r="I109" s="114">
        <v>0</v>
      </c>
      <c r="J109" s="65"/>
      <c r="K109" s="44"/>
      <c r="L109" s="40"/>
      <c r="M109" s="114">
        <v>0</v>
      </c>
      <c r="N109" s="90"/>
      <c r="O109" s="40"/>
      <c r="P109" s="136"/>
      <c r="Q109" s="68"/>
      <c r="R109" s="150"/>
      <c r="S109" s="397"/>
      <c r="T109" s="398"/>
      <c r="U109" s="398"/>
      <c r="V109" s="398"/>
      <c r="W109" s="399"/>
    </row>
    <row r="110" spans="2:23">
      <c r="B110" s="65"/>
      <c r="C110" s="44"/>
      <c r="D110" s="44"/>
      <c r="E110" s="405" t="str">
        <f>IF(Annexes!M9=FALSE,"Non-Concerné",IF(Annexes!M6=1,"Non-Concerné","Seulement le CA sur le nombre de jours de fermeture administrative"))</f>
        <v>Non-Concerné</v>
      </c>
      <c r="F110" s="405"/>
      <c r="G110" s="405"/>
      <c r="H110" s="405"/>
      <c r="I110" s="405"/>
      <c r="J110" s="406"/>
      <c r="K110" s="44"/>
      <c r="L110" s="40"/>
      <c r="M110" s="51"/>
      <c r="N110" s="40"/>
      <c r="O110" s="40"/>
      <c r="P110" s="136"/>
      <c r="Q110" s="68"/>
      <c r="R110" s="150"/>
      <c r="S110" s="397"/>
      <c r="T110" s="398"/>
      <c r="U110" s="398"/>
      <c r="V110" s="398"/>
      <c r="W110" s="399"/>
    </row>
    <row r="111" spans="2:23" ht="15.75" thickBot="1">
      <c r="B111" s="65"/>
      <c r="C111" s="44"/>
      <c r="D111" s="44"/>
      <c r="E111" s="40"/>
      <c r="F111" s="40"/>
      <c r="G111" s="40"/>
      <c r="H111" s="40"/>
      <c r="I111" s="40"/>
      <c r="J111" s="65"/>
      <c r="K111" s="44"/>
      <c r="L111" s="40"/>
      <c r="M111" s="40"/>
      <c r="N111" s="40"/>
      <c r="O111" s="40"/>
      <c r="P111" s="40"/>
      <c r="Q111" s="68"/>
      <c r="R111" s="150"/>
      <c r="S111" s="397"/>
      <c r="T111" s="398"/>
      <c r="U111" s="398"/>
      <c r="V111" s="398"/>
      <c r="W111" s="399"/>
    </row>
    <row r="112" spans="2:23" ht="15.75" thickBot="1">
      <c r="B112" s="65"/>
      <c r="C112" s="44"/>
      <c r="D112" s="44"/>
      <c r="E112" s="415" t="s">
        <v>16</v>
      </c>
      <c r="F112" s="415"/>
      <c r="G112" s="40"/>
      <c r="H112" s="40"/>
      <c r="I112" s="114">
        <v>0</v>
      </c>
      <c r="J112" s="65"/>
      <c r="K112" s="44"/>
      <c r="L112" s="40"/>
      <c r="M112" s="114">
        <v>0</v>
      </c>
      <c r="N112" s="88"/>
      <c r="O112" s="53"/>
      <c r="P112" s="40"/>
      <c r="Q112" s="68"/>
      <c r="R112" s="150"/>
      <c r="S112" s="397"/>
      <c r="T112" s="398"/>
      <c r="U112" s="398"/>
      <c r="V112" s="398"/>
      <c r="W112" s="399"/>
    </row>
    <row r="113" spans="2:23" ht="15.75" thickBot="1">
      <c r="B113" s="65"/>
      <c r="C113" s="44"/>
      <c r="D113" s="44"/>
      <c r="E113" s="40"/>
      <c r="F113" s="40"/>
      <c r="G113" s="40"/>
      <c r="H113" s="40"/>
      <c r="I113" s="40"/>
      <c r="J113" s="65"/>
      <c r="K113" s="44"/>
      <c r="L113" s="40"/>
      <c r="M113" s="40"/>
      <c r="N113" s="40"/>
      <c r="O113" s="40"/>
      <c r="P113" s="40"/>
      <c r="Q113" s="68"/>
      <c r="R113" s="150"/>
      <c r="S113" s="397"/>
      <c r="T113" s="398"/>
      <c r="U113" s="398"/>
      <c r="V113" s="398"/>
      <c r="W113" s="399"/>
    </row>
    <row r="114" spans="2:23" ht="15.75" thickBot="1">
      <c r="B114" s="65"/>
      <c r="C114" s="44"/>
      <c r="D114" s="44"/>
      <c r="E114" s="415" t="s">
        <v>17</v>
      </c>
      <c r="F114" s="415"/>
      <c r="G114" s="40"/>
      <c r="H114" s="40"/>
      <c r="I114" s="114">
        <v>0</v>
      </c>
      <c r="J114" s="65"/>
      <c r="K114" s="44"/>
      <c r="L114" s="40"/>
      <c r="M114" s="114">
        <v>0</v>
      </c>
      <c r="N114" s="88"/>
      <c r="O114" s="54"/>
      <c r="P114" s="40"/>
      <c r="Q114" s="68"/>
      <c r="R114" s="150"/>
      <c r="S114" s="397"/>
      <c r="T114" s="398"/>
      <c r="U114" s="398"/>
      <c r="V114" s="398"/>
      <c r="W114" s="399"/>
    </row>
    <row r="115" spans="2:23" ht="15.75" thickBot="1">
      <c r="B115" s="65"/>
      <c r="C115" s="44"/>
      <c r="D115" s="44"/>
      <c r="E115" s="40"/>
      <c r="F115" s="40"/>
      <c r="G115" s="40"/>
      <c r="H115" s="40"/>
      <c r="I115" s="40"/>
      <c r="J115" s="65"/>
      <c r="K115" s="44"/>
      <c r="L115" s="40"/>
      <c r="M115" s="40"/>
      <c r="N115" s="40"/>
      <c r="O115" s="40"/>
      <c r="P115" s="40"/>
      <c r="Q115" s="68"/>
      <c r="R115" s="150"/>
      <c r="S115" s="397"/>
      <c r="T115" s="398"/>
      <c r="U115" s="398"/>
      <c r="V115" s="398"/>
      <c r="W115" s="399"/>
    </row>
    <row r="116" spans="2:23" ht="15.75" thickBot="1">
      <c r="B116" s="65"/>
      <c r="C116" s="44"/>
      <c r="D116" s="44"/>
      <c r="E116" s="167" t="s">
        <v>94</v>
      </c>
      <c r="F116" s="40"/>
      <c r="G116" s="40"/>
      <c r="H116" s="40"/>
      <c r="I116" s="114">
        <v>0</v>
      </c>
      <c r="J116" s="65"/>
      <c r="K116" s="44"/>
      <c r="L116" s="40"/>
      <c r="M116" s="114">
        <v>0</v>
      </c>
      <c r="N116" s="40"/>
      <c r="O116" s="40"/>
      <c r="P116" s="40"/>
      <c r="Q116" s="68"/>
      <c r="R116" s="150"/>
      <c r="S116" s="397"/>
      <c r="T116" s="398"/>
      <c r="U116" s="398"/>
      <c r="V116" s="398"/>
      <c r="W116" s="399"/>
    </row>
    <row r="117" spans="2:23" ht="15.75" customHeight="1" thickBot="1">
      <c r="B117" s="65"/>
      <c r="C117" s="44"/>
      <c r="D117" s="44"/>
      <c r="E117" s="40"/>
      <c r="F117" s="40"/>
      <c r="G117" s="40"/>
      <c r="H117" s="40"/>
      <c r="I117" s="40"/>
      <c r="J117" s="65"/>
      <c r="K117" s="44"/>
      <c r="L117" s="40"/>
      <c r="M117" s="40"/>
      <c r="N117" s="40"/>
      <c r="O117" s="40"/>
      <c r="P117" s="40"/>
      <c r="Q117" s="68"/>
      <c r="R117" s="150"/>
      <c r="S117" s="397"/>
      <c r="T117" s="398"/>
      <c r="U117" s="398"/>
      <c r="V117" s="398"/>
      <c r="W117" s="399"/>
    </row>
    <row r="118" spans="2:23" ht="15.75" customHeight="1" thickBot="1">
      <c r="B118" s="65"/>
      <c r="C118" s="44"/>
      <c r="D118" s="44"/>
      <c r="E118" s="416" t="s">
        <v>18</v>
      </c>
      <c r="F118" s="416"/>
      <c r="G118" s="416"/>
      <c r="H118" s="40"/>
      <c r="I118" s="114">
        <f>I98*2</f>
        <v>0</v>
      </c>
      <c r="J118" s="89" t="str">
        <f>IF('Mon Entreprise'!K8&lt;Annexes!O17,"*","")</f>
        <v>*</v>
      </c>
      <c r="K118" s="44"/>
      <c r="L118" s="40"/>
      <c r="M118" s="114">
        <v>0</v>
      </c>
      <c r="N118" s="88"/>
      <c r="O118" s="40"/>
      <c r="P118" s="40"/>
      <c r="Q118" s="68"/>
      <c r="R118" s="150"/>
      <c r="S118" s="397"/>
      <c r="T118" s="398"/>
      <c r="U118" s="398"/>
      <c r="V118" s="398"/>
      <c r="W118" s="399"/>
    </row>
    <row r="119" spans="2:23">
      <c r="B119" s="65"/>
      <c r="C119" s="44"/>
      <c r="D119" s="44"/>
      <c r="E119" s="411" t="str">
        <f>IF(AND(Annexes!F7&gt;1,Annexes!F7&lt;=Annexes!H8),"","Non-Concerné")</f>
        <v>Non-Concerné</v>
      </c>
      <c r="F119" s="411"/>
      <c r="G119" s="411"/>
      <c r="H119" s="40"/>
      <c r="I119" s="51"/>
      <c r="J119" s="89"/>
      <c r="K119" s="44"/>
      <c r="L119" s="40"/>
      <c r="M119" s="40"/>
      <c r="N119" s="40"/>
      <c r="O119" s="40"/>
      <c r="P119" s="40"/>
      <c r="Q119" s="68"/>
      <c r="R119" s="150"/>
      <c r="S119" s="397"/>
      <c r="T119" s="398"/>
      <c r="U119" s="398"/>
      <c r="V119" s="398"/>
      <c r="W119" s="399"/>
    </row>
    <row r="120" spans="2:23">
      <c r="B120" s="65"/>
      <c r="C120" s="44"/>
      <c r="D120" s="44"/>
      <c r="E120" s="208"/>
      <c r="F120" s="208"/>
      <c r="G120" s="208"/>
      <c r="H120" s="40"/>
      <c r="I120" s="51"/>
      <c r="J120" s="89"/>
      <c r="K120" s="44"/>
      <c r="L120" s="407" t="s">
        <v>117</v>
      </c>
      <c r="M120" s="407"/>
      <c r="N120" s="407"/>
      <c r="O120" s="407"/>
      <c r="P120" s="40"/>
      <c r="Q120" s="68"/>
      <c r="R120" s="150"/>
      <c r="S120" s="397"/>
      <c r="T120" s="398"/>
      <c r="U120" s="398"/>
      <c r="V120" s="398"/>
      <c r="W120" s="399"/>
    </row>
    <row r="121" spans="2:23" ht="15.75" thickBot="1">
      <c r="B121" s="65"/>
      <c r="C121" s="44"/>
      <c r="D121" s="44"/>
      <c r="E121" s="208"/>
      <c r="F121" s="208"/>
      <c r="G121" s="208"/>
      <c r="H121" s="40"/>
      <c r="I121" s="51"/>
      <c r="J121" s="89"/>
      <c r="K121" s="44"/>
      <c r="L121" s="40"/>
      <c r="M121" s="40"/>
      <c r="N121" s="40"/>
      <c r="O121" s="40"/>
      <c r="P121" s="40"/>
      <c r="Q121" s="68"/>
      <c r="R121" s="150"/>
      <c r="S121" s="397"/>
      <c r="T121" s="398"/>
      <c r="U121" s="398"/>
      <c r="V121" s="398"/>
      <c r="W121" s="399"/>
    </row>
    <row r="122" spans="2:23" ht="15.75" thickBot="1">
      <c r="B122" s="65"/>
      <c r="C122" s="44"/>
      <c r="D122" s="44"/>
      <c r="E122" s="167" t="s">
        <v>118</v>
      </c>
      <c r="F122" s="40"/>
      <c r="G122" s="40"/>
      <c r="H122" s="40"/>
      <c r="I122" s="114">
        <v>0</v>
      </c>
      <c r="J122" s="65"/>
      <c r="K122" s="44"/>
      <c r="L122" s="40"/>
      <c r="M122" s="114">
        <v>0</v>
      </c>
      <c r="N122" s="40"/>
      <c r="O122" s="40"/>
      <c r="P122" s="40"/>
      <c r="Q122" s="68"/>
      <c r="R122" s="150"/>
      <c r="S122" s="419"/>
      <c r="T122" s="398"/>
      <c r="U122" s="398"/>
      <c r="V122" s="398"/>
      <c r="W122" s="399"/>
    </row>
    <row r="123" spans="2:23" ht="15.75" thickBot="1">
      <c r="B123" s="65"/>
      <c r="C123" s="44"/>
      <c r="D123" s="44"/>
      <c r="E123" s="40"/>
      <c r="F123" s="40"/>
      <c r="G123" s="40"/>
      <c r="H123" s="40"/>
      <c r="I123" s="40"/>
      <c r="J123" s="65"/>
      <c r="K123" s="44"/>
      <c r="L123" s="40"/>
      <c r="M123" s="40"/>
      <c r="N123" s="44"/>
      <c r="O123" s="40"/>
      <c r="P123" s="40"/>
      <c r="Q123" s="68"/>
      <c r="R123" s="150"/>
      <c r="S123" s="397"/>
      <c r="T123" s="398"/>
      <c r="U123" s="398"/>
      <c r="V123" s="398"/>
      <c r="W123" s="399"/>
    </row>
    <row r="124" spans="2:23" ht="15.75" thickBot="1">
      <c r="B124" s="65"/>
      <c r="C124" s="44"/>
      <c r="D124" s="44"/>
      <c r="E124" s="167" t="s">
        <v>308</v>
      </c>
      <c r="F124" s="40"/>
      <c r="G124" s="40"/>
      <c r="H124" s="40"/>
      <c r="I124" s="114">
        <v>0</v>
      </c>
      <c r="J124" s="65"/>
      <c r="K124" s="44"/>
      <c r="L124" s="40"/>
      <c r="M124" s="114">
        <v>0</v>
      </c>
      <c r="N124" s="44"/>
      <c r="O124" s="40"/>
      <c r="P124" s="40"/>
      <c r="Q124" s="68"/>
      <c r="R124" s="150"/>
      <c r="S124" s="397"/>
      <c r="T124" s="398"/>
      <c r="U124" s="398"/>
      <c r="V124" s="398"/>
      <c r="W124" s="399"/>
    </row>
    <row r="125" spans="2:23" ht="15.75" thickBot="1">
      <c r="B125" s="65"/>
      <c r="C125" s="44"/>
      <c r="D125" s="44"/>
      <c r="E125" s="40"/>
      <c r="F125" s="40"/>
      <c r="G125" s="40"/>
      <c r="H125" s="40"/>
      <c r="I125" s="40"/>
      <c r="J125" s="65"/>
      <c r="K125" s="44"/>
      <c r="L125" s="40"/>
      <c r="M125" s="40"/>
      <c r="N125" s="40"/>
      <c r="O125" s="40"/>
      <c r="P125" s="40"/>
      <c r="Q125" s="68"/>
      <c r="R125" s="150"/>
      <c r="S125" s="397"/>
      <c r="T125" s="398"/>
      <c r="U125" s="398"/>
      <c r="V125" s="398"/>
      <c r="W125" s="399"/>
    </row>
    <row r="126" spans="2:23" ht="15.75" thickBot="1">
      <c r="B126" s="65"/>
      <c r="C126" s="44"/>
      <c r="D126" s="44"/>
      <c r="E126" s="167" t="s">
        <v>381</v>
      </c>
      <c r="F126" s="40"/>
      <c r="G126" s="40"/>
      <c r="H126" s="40"/>
      <c r="I126" s="114">
        <v>0</v>
      </c>
      <c r="J126" s="65"/>
      <c r="K126" s="44"/>
      <c r="L126" s="40"/>
      <c r="M126" s="114">
        <v>0</v>
      </c>
      <c r="N126" s="40"/>
      <c r="O126" s="40"/>
      <c r="P126" s="40"/>
      <c r="Q126" s="68"/>
      <c r="R126" s="150"/>
      <c r="S126" s="397"/>
      <c r="T126" s="398"/>
      <c r="U126" s="398"/>
      <c r="V126" s="398"/>
      <c r="W126" s="399"/>
    </row>
    <row r="127" spans="2:23" ht="15.75" thickBot="1">
      <c r="B127" s="65"/>
      <c r="C127" s="44"/>
      <c r="D127" s="44"/>
      <c r="E127" s="40"/>
      <c r="F127" s="40"/>
      <c r="G127" s="40"/>
      <c r="H127" s="40"/>
      <c r="I127" s="40"/>
      <c r="J127" s="65"/>
      <c r="K127" s="44"/>
      <c r="L127" s="40"/>
      <c r="M127" s="40"/>
      <c r="N127" s="40"/>
      <c r="O127" s="40"/>
      <c r="P127" s="40"/>
      <c r="Q127" s="68"/>
      <c r="R127" s="150"/>
      <c r="S127" s="397"/>
      <c r="T127" s="398"/>
      <c r="U127" s="398"/>
      <c r="V127" s="398"/>
      <c r="W127" s="399"/>
    </row>
    <row r="128" spans="2:23" ht="15.75" thickBot="1">
      <c r="B128" s="65"/>
      <c r="C128" s="44"/>
      <c r="D128" s="44"/>
      <c r="E128" s="167" t="s">
        <v>440</v>
      </c>
      <c r="F128" s="40"/>
      <c r="G128" s="40"/>
      <c r="H128" s="40"/>
      <c r="I128" s="114">
        <v>0</v>
      </c>
      <c r="J128" s="65"/>
      <c r="K128" s="44"/>
      <c r="L128" s="40"/>
      <c r="M128" s="114">
        <v>0</v>
      </c>
      <c r="N128" s="40"/>
      <c r="O128" s="40"/>
      <c r="P128" s="40"/>
      <c r="Q128" s="68"/>
      <c r="R128" s="150"/>
      <c r="S128" s="397"/>
      <c r="T128" s="398"/>
      <c r="U128" s="398"/>
      <c r="V128" s="398"/>
      <c r="W128" s="399"/>
    </row>
    <row r="129" spans="2:23" ht="15.75" thickBot="1">
      <c r="B129" s="65"/>
      <c r="C129" s="44"/>
      <c r="D129" s="44"/>
      <c r="E129" s="40"/>
      <c r="F129" s="40"/>
      <c r="G129" s="40"/>
      <c r="H129" s="40"/>
      <c r="I129" s="40"/>
      <c r="J129" s="65"/>
      <c r="K129" s="44"/>
      <c r="L129" s="40"/>
      <c r="M129" s="40"/>
      <c r="N129" s="40"/>
      <c r="O129" s="40"/>
      <c r="P129" s="40"/>
      <c r="Q129" s="68"/>
      <c r="R129" s="150"/>
      <c r="S129" s="397"/>
      <c r="T129" s="398"/>
      <c r="U129" s="398"/>
      <c r="V129" s="398"/>
      <c r="W129" s="399"/>
    </row>
    <row r="130" spans="2:23" ht="15.75" thickBot="1">
      <c r="B130" s="65"/>
      <c r="C130" s="44"/>
      <c r="D130" s="44"/>
      <c r="E130" s="167" t="s">
        <v>459</v>
      </c>
      <c r="F130" s="40"/>
      <c r="G130" s="40"/>
      <c r="H130" s="40"/>
      <c r="I130" s="114">
        <v>0</v>
      </c>
      <c r="J130" s="65"/>
      <c r="K130" s="44"/>
      <c r="L130" s="40"/>
      <c r="M130" s="114">
        <v>0</v>
      </c>
      <c r="N130" s="40"/>
      <c r="O130" s="40"/>
      <c r="P130" s="40"/>
      <c r="Q130" s="68"/>
      <c r="R130" s="150"/>
      <c r="S130" s="397"/>
      <c r="T130" s="398"/>
      <c r="U130" s="398"/>
      <c r="V130" s="398"/>
      <c r="W130" s="399"/>
    </row>
    <row r="131" spans="2:23" ht="15.75" thickBot="1">
      <c r="B131" s="65"/>
      <c r="C131" s="44"/>
      <c r="D131" s="44"/>
      <c r="E131" s="40"/>
      <c r="F131" s="40"/>
      <c r="G131" s="40"/>
      <c r="H131" s="40"/>
      <c r="I131" s="40"/>
      <c r="J131" s="65"/>
      <c r="K131" s="40"/>
      <c r="L131" s="40"/>
      <c r="M131" s="40"/>
      <c r="N131" s="40"/>
      <c r="O131" s="40"/>
      <c r="P131" s="40"/>
      <c r="Q131" s="68"/>
      <c r="R131" s="150"/>
      <c r="S131" s="397"/>
      <c r="T131" s="398"/>
      <c r="U131" s="398"/>
      <c r="V131" s="398"/>
      <c r="W131" s="399"/>
    </row>
    <row r="132" spans="2:23" ht="15.75" thickBot="1">
      <c r="B132" s="65"/>
      <c r="C132" s="44"/>
      <c r="D132" s="44"/>
      <c r="E132" s="167" t="s">
        <v>467</v>
      </c>
      <c r="F132" s="40"/>
      <c r="G132" s="40"/>
      <c r="H132" s="40"/>
      <c r="I132" s="114">
        <v>0</v>
      </c>
      <c r="J132" s="65"/>
      <c r="K132" s="44"/>
      <c r="L132" s="40"/>
      <c r="M132" s="114">
        <v>0</v>
      </c>
      <c r="N132" s="40" t="s">
        <v>516</v>
      </c>
      <c r="O132" s="40"/>
      <c r="P132" s="40"/>
      <c r="Q132" s="68"/>
      <c r="R132" s="150"/>
      <c r="S132" s="397"/>
      <c r="T132" s="398"/>
      <c r="U132" s="398"/>
      <c r="V132" s="398"/>
      <c r="W132" s="399"/>
    </row>
    <row r="133" spans="2:23" ht="15.75" thickBot="1">
      <c r="B133" s="65"/>
      <c r="C133" s="44"/>
      <c r="D133" s="44"/>
      <c r="E133" s="40"/>
      <c r="F133" s="40"/>
      <c r="G133" s="40"/>
      <c r="H133" s="40"/>
      <c r="I133" s="40"/>
      <c r="J133" s="65"/>
      <c r="K133" s="44"/>
      <c r="L133" s="40"/>
      <c r="M133" s="40"/>
      <c r="N133" s="40"/>
      <c r="O133" s="40"/>
      <c r="P133" s="40"/>
      <c r="Q133" s="68"/>
      <c r="R133" s="150"/>
      <c r="S133" s="397"/>
      <c r="T133" s="398"/>
      <c r="U133" s="398"/>
      <c r="V133" s="398"/>
      <c r="W133" s="399"/>
    </row>
    <row r="134" spans="2:23" ht="15.75" thickBot="1">
      <c r="B134" s="65"/>
      <c r="C134" s="44"/>
      <c r="D134" s="44"/>
      <c r="E134" s="167" t="s">
        <v>468</v>
      </c>
      <c r="F134" s="40"/>
      <c r="G134" s="40"/>
      <c r="H134" s="40"/>
      <c r="I134" s="114">
        <v>0</v>
      </c>
      <c r="J134" s="65"/>
      <c r="K134" s="44"/>
      <c r="L134" s="40"/>
      <c r="M134" s="114">
        <v>0</v>
      </c>
      <c r="N134" s="40" t="s">
        <v>516</v>
      </c>
      <c r="O134" s="40"/>
      <c r="P134" s="40"/>
      <c r="Q134" s="68"/>
      <c r="R134" s="150"/>
      <c r="S134" s="397"/>
      <c r="T134" s="398"/>
      <c r="U134" s="398"/>
      <c r="V134" s="398"/>
      <c r="W134" s="399"/>
    </row>
    <row r="135" spans="2:23" ht="15.75" thickBot="1">
      <c r="B135" s="65"/>
      <c r="C135" s="44"/>
      <c r="D135" s="44"/>
      <c r="E135" s="40"/>
      <c r="F135" s="40"/>
      <c r="G135" s="40"/>
      <c r="H135" s="40"/>
      <c r="I135" s="40"/>
      <c r="J135" s="65"/>
      <c r="K135" s="40"/>
      <c r="L135" s="40"/>
      <c r="M135" s="40"/>
      <c r="N135" s="40"/>
      <c r="O135" s="40"/>
      <c r="P135" s="40"/>
      <c r="Q135" s="68"/>
      <c r="R135" s="150"/>
      <c r="S135" s="397"/>
      <c r="T135" s="398"/>
      <c r="U135" s="398"/>
      <c r="V135" s="398"/>
      <c r="W135" s="399"/>
    </row>
    <row r="136" spans="2:23" ht="15.75" thickBot="1">
      <c r="B136" s="65"/>
      <c r="C136" s="44"/>
      <c r="D136" s="44"/>
      <c r="E136" s="167" t="s">
        <v>500</v>
      </c>
      <c r="F136" s="40"/>
      <c r="G136" s="40"/>
      <c r="H136" s="40"/>
      <c r="I136" s="114">
        <v>0</v>
      </c>
      <c r="J136" s="65"/>
      <c r="K136" s="44"/>
      <c r="L136" s="40"/>
      <c r="M136" s="114">
        <v>0</v>
      </c>
      <c r="N136" s="40" t="s">
        <v>516</v>
      </c>
      <c r="O136" s="40"/>
      <c r="P136" s="40"/>
      <c r="Q136" s="68"/>
      <c r="R136" s="150"/>
      <c r="S136" s="408"/>
      <c r="T136" s="409"/>
      <c r="U136" s="409"/>
      <c r="V136" s="409"/>
      <c r="W136" s="410"/>
    </row>
    <row r="137" spans="2:23" ht="15.75" thickBot="1">
      <c r="B137" s="65"/>
      <c r="C137" s="44"/>
      <c r="D137" s="44"/>
      <c r="E137" s="40"/>
      <c r="F137" s="40"/>
      <c r="G137" s="40"/>
      <c r="H137" s="40"/>
      <c r="I137" s="40"/>
      <c r="J137" s="40"/>
      <c r="K137" s="40"/>
      <c r="L137" s="40"/>
      <c r="M137" s="40"/>
      <c r="N137" s="40"/>
      <c r="O137" s="40"/>
      <c r="P137" s="40"/>
      <c r="Q137" s="68"/>
      <c r="R137" s="150"/>
      <c r="S137" s="408"/>
      <c r="T137" s="409"/>
      <c r="U137" s="409"/>
      <c r="V137" s="409"/>
      <c r="W137" s="410"/>
    </row>
    <row r="138" spans="2:23" ht="15.75" thickBot="1">
      <c r="B138" s="65"/>
      <c r="C138" s="44"/>
      <c r="D138" s="44"/>
      <c r="E138" s="167" t="s">
        <v>522</v>
      </c>
      <c r="F138" s="40"/>
      <c r="G138" s="40"/>
      <c r="H138" s="40"/>
      <c r="I138" s="114">
        <v>0</v>
      </c>
      <c r="J138" s="65"/>
      <c r="K138" s="44"/>
      <c r="L138" s="40"/>
      <c r="M138" s="114">
        <v>0</v>
      </c>
      <c r="N138" s="40" t="s">
        <v>516</v>
      </c>
      <c r="O138" s="40"/>
      <c r="P138" s="40"/>
      <c r="Q138" s="68"/>
      <c r="R138" s="150"/>
      <c r="S138" s="408"/>
      <c r="T138" s="409"/>
      <c r="U138" s="409"/>
      <c r="V138" s="409"/>
      <c r="W138" s="410"/>
    </row>
    <row r="139" spans="2:23">
      <c r="B139" s="65"/>
      <c r="C139" s="44"/>
      <c r="D139" s="44"/>
      <c r="E139" s="40"/>
      <c r="F139" s="40"/>
      <c r="G139" s="40"/>
      <c r="H139" s="40"/>
      <c r="I139" s="40"/>
      <c r="J139" s="40"/>
      <c r="K139" s="40"/>
      <c r="L139" s="40"/>
      <c r="M139" s="40"/>
      <c r="N139" s="40"/>
      <c r="O139" s="40"/>
      <c r="P139" s="40"/>
      <c r="Q139" s="68"/>
      <c r="R139" s="150"/>
      <c r="S139" s="408"/>
      <c r="T139" s="409"/>
      <c r="U139" s="409"/>
      <c r="V139" s="409"/>
      <c r="W139" s="410"/>
    </row>
    <row r="140" spans="2:23">
      <c r="B140" s="65"/>
      <c r="C140" s="44"/>
      <c r="D140" s="44"/>
      <c r="E140" s="376" t="s">
        <v>517</v>
      </c>
      <c r="F140" s="40"/>
      <c r="G140" s="40"/>
      <c r="H140" s="40"/>
      <c r="I140" s="40"/>
      <c r="J140" s="40"/>
      <c r="K140" s="40"/>
      <c r="L140" s="40"/>
      <c r="M140" s="40"/>
      <c r="N140" s="40"/>
      <c r="O140" s="40"/>
      <c r="P140" s="40"/>
      <c r="Q140" s="68"/>
      <c r="R140" s="150"/>
      <c r="S140" s="408"/>
      <c r="T140" s="409"/>
      <c r="U140" s="409"/>
      <c r="V140" s="409"/>
      <c r="W140" s="410"/>
    </row>
    <row r="141" spans="2:23">
      <c r="B141" s="65"/>
      <c r="C141" s="44"/>
      <c r="D141" s="44"/>
      <c r="E141" s="40"/>
      <c r="F141" s="40"/>
      <c r="G141" s="40"/>
      <c r="H141" s="40"/>
      <c r="I141" s="40"/>
      <c r="J141" s="40"/>
      <c r="K141" s="40"/>
      <c r="L141" s="40"/>
      <c r="M141" s="40"/>
      <c r="N141" s="40"/>
      <c r="O141" s="40"/>
      <c r="P141" s="40"/>
      <c r="Q141" s="68"/>
      <c r="R141" s="150"/>
      <c r="S141" s="408"/>
      <c r="T141" s="409"/>
      <c r="U141" s="409"/>
      <c r="V141" s="409"/>
      <c r="W141" s="410"/>
    </row>
    <row r="142" spans="2:23">
      <c r="B142" s="65"/>
      <c r="C142" s="44"/>
      <c r="D142" s="44"/>
      <c r="E142" s="404" t="str">
        <f>IF(K8&lt;Annexes!O17,"A compléter seulement en cas de création d'activité à partir du 1er Janvier 2019","En cas de création d'activité à partir du 1er Janvier 2019")</f>
        <v>A compléter seulement en cas de création d'activité à partir du 1er Janvier 2019</v>
      </c>
      <c r="F142" s="404"/>
      <c r="G142" s="404"/>
      <c r="H142" s="404"/>
      <c r="I142" s="404"/>
      <c r="J142" s="404"/>
      <c r="K142" s="404"/>
      <c r="L142" s="404"/>
      <c r="M142" s="404"/>
      <c r="N142" s="404"/>
      <c r="O142" s="40"/>
      <c r="P142" s="40"/>
      <c r="Q142" s="68"/>
      <c r="R142" s="150"/>
      <c r="S142" s="408"/>
      <c r="T142" s="409"/>
      <c r="U142" s="409"/>
      <c r="V142" s="409"/>
      <c r="W142" s="410"/>
    </row>
    <row r="143" spans="2:23">
      <c r="B143" s="65"/>
      <c r="C143" s="44"/>
      <c r="D143" s="44"/>
      <c r="E143" s="40"/>
      <c r="F143" s="40"/>
      <c r="G143" s="40"/>
      <c r="H143" s="40"/>
      <c r="I143" s="51"/>
      <c r="J143" s="40"/>
      <c r="K143" s="40"/>
      <c r="L143" s="40"/>
      <c r="M143" s="40"/>
      <c r="N143" s="255"/>
      <c r="O143" s="40"/>
      <c r="P143" s="40"/>
      <c r="Q143" s="68"/>
      <c r="R143" s="150"/>
      <c r="S143" s="397"/>
      <c r="T143" s="398"/>
      <c r="U143" s="398"/>
      <c r="V143" s="398"/>
      <c r="W143" s="399"/>
    </row>
    <row r="144" spans="2:23">
      <c r="B144" s="65"/>
      <c r="C144" s="44"/>
      <c r="D144" s="44"/>
      <c r="E144" s="401" t="str">
        <f>IF(K8&gt;Annexes!R15,"",IF(K8&gt;=Annexes!O20,"Aide pour Avril 2021 :",""))</f>
        <v/>
      </c>
      <c r="F144" s="402"/>
      <c r="G144" s="402"/>
      <c r="H144" s="402"/>
      <c r="I144" s="402"/>
      <c r="J144" s="402"/>
      <c r="K144" s="40"/>
      <c r="L144" s="40"/>
      <c r="M144" s="40"/>
      <c r="N144" s="255"/>
      <c r="O144" s="40"/>
      <c r="P144" s="40"/>
      <c r="Q144" s="68"/>
      <c r="R144" s="150"/>
      <c r="S144" s="397"/>
      <c r="T144" s="398"/>
      <c r="U144" s="398"/>
      <c r="V144" s="398"/>
      <c r="W144" s="399"/>
    </row>
    <row r="145" spans="2:23" ht="15.75" thickBot="1">
      <c r="B145" s="65"/>
      <c r="C145" s="44"/>
      <c r="D145" s="44"/>
      <c r="E145" s="400" t="str">
        <f>IF(K8&gt;Annexes!R15,"",IF(K8&gt;Annexes!Q29,"Entreprise créée entre le 1er et le 31 Janvier 2020 :",IF(K8&gt;Annexes!Q26,"Entreprise créée entre le 1er Novembre et le 31 Décembre 2020 :",IF(K8&gt;=Annexes!Q25,"Entreprise créée entre le 1er et le 30 Octobre 2020 :",IF(K8&gt;=Annexes!Q18,"Entreprise créée entre le 1er Mars le 30 Septembre 2020 :",IF(K8&gt;=Annexes!Q16,"Entreprise créée entre le 1er et le 29 février 2020 :",IF(K8&gt;=Annexes!O20,"Entreprise créée entre le 1er Juin 2019 et le 31 Janvier 2020 :","")))))))</f>
        <v/>
      </c>
      <c r="F145" s="400"/>
      <c r="G145" s="400"/>
      <c r="H145" s="400"/>
      <c r="I145" s="400"/>
      <c r="J145" s="400"/>
      <c r="K145" s="40"/>
      <c r="L145" s="40"/>
      <c r="M145" s="40"/>
      <c r="N145" s="255"/>
      <c r="O145" s="40"/>
      <c r="P145" s="40"/>
      <c r="Q145" s="68"/>
      <c r="R145" s="150"/>
      <c r="S145" s="397"/>
      <c r="T145" s="398"/>
      <c r="U145" s="398"/>
      <c r="V145" s="398"/>
      <c r="W145" s="399"/>
    </row>
    <row r="146" spans="2:23" ht="15.75" thickBot="1">
      <c r="B146" s="65"/>
      <c r="C146" s="44"/>
      <c r="D146" s="44"/>
      <c r="E146" s="400" t="str">
        <f>IF(K8&gt;Annexes!R15,"",IF(K8&gt;Annexes!Q29,"- Chiffre d'affaires du mois de Février 2021",IF(K8&gt;Annexes!Q26,"- Chiffre d'affaires du mois de Janvier  2021",IF(K8&gt;=Annexes!Q25,"- Chiffre d'affaires du mois de Décembre 2020",IF(K8&gt;=Annexes!Q22,"- Chiffre d'affaires entre la création et le 31 Octobre 2020 :",IF(K8&gt;=Annexes!Q18,"- Chiffre d'affaires entre le 1er Juillet et le 31 Octobre 2020 :",IF(K8&gt;=Annexes!Q16,"- Chiffre d'affaires du mois de février 2020 :",IF(K8&gt;=Annexes!O20,"- Chiffre d'affaires entre la création et le 29 février 2020 :",""))))))))</f>
        <v/>
      </c>
      <c r="F146" s="400"/>
      <c r="G146" s="400"/>
      <c r="H146" s="400"/>
      <c r="I146" s="400"/>
      <c r="J146" s="400"/>
      <c r="K146" s="40"/>
      <c r="L146" s="40"/>
      <c r="M146" s="114">
        <v>0</v>
      </c>
      <c r="N146" s="255"/>
      <c r="O146" s="40"/>
      <c r="P146" s="40"/>
      <c r="Q146" s="68"/>
      <c r="R146" s="150"/>
      <c r="S146" s="397"/>
      <c r="T146" s="398"/>
      <c r="U146" s="398"/>
      <c r="V146" s="398"/>
      <c r="W146" s="399"/>
    </row>
    <row r="147" spans="2:23">
      <c r="B147" s="65"/>
      <c r="C147" s="44"/>
      <c r="D147" s="44"/>
      <c r="E147" s="257"/>
      <c r="F147" s="40"/>
      <c r="G147" s="40"/>
      <c r="H147" s="40"/>
      <c r="I147" s="51"/>
      <c r="J147" s="40"/>
      <c r="K147" s="40"/>
      <c r="L147" s="40"/>
      <c r="M147" s="40"/>
      <c r="N147" s="255"/>
      <c r="O147" s="40"/>
      <c r="P147" s="40"/>
      <c r="Q147" s="68"/>
      <c r="R147" s="150"/>
      <c r="S147" s="397"/>
      <c r="T147" s="398"/>
      <c r="U147" s="398"/>
      <c r="V147" s="398"/>
      <c r="W147" s="399"/>
    </row>
    <row r="148" spans="2:23">
      <c r="B148" s="65"/>
      <c r="C148" s="44"/>
      <c r="D148" s="44"/>
      <c r="E148" s="40"/>
      <c r="F148" s="403" t="str">
        <f>IF(K8&gt;Annexes!R15,"",IF(K8&gt;=Annexes!O14,"CA moyen sur un mois :",""))</f>
        <v/>
      </c>
      <c r="G148" s="403"/>
      <c r="H148" s="403"/>
      <c r="I148" s="51" t="str">
        <f>IFERROR(IF(K8&gt;Annexes!R15,"",IF(K8&gt;=Annexes!Q25,M146,IF(K8&gt;=Annexes!Q22,M146*360/(Annexes!Q26-K8+1)/12,IF(K8&gt;=Annexes!Q18,M146/4,IF(K8&gt;=Annexes!Q16,M146*360/(Annexes!Q17-K8+1)/12,IF(K8&gt;=Annexes!O20,M146*360/(Annexes!Q17-K8+1)/12,"")))))),0)</f>
        <v/>
      </c>
      <c r="J148" s="40"/>
      <c r="K148" s="40"/>
      <c r="L148" s="40"/>
      <c r="M148" s="40"/>
      <c r="N148" s="255"/>
      <c r="O148" s="40"/>
      <c r="P148" s="40"/>
      <c r="Q148" s="68"/>
      <c r="R148" s="150"/>
      <c r="S148" s="397"/>
      <c r="T148" s="398"/>
      <c r="U148" s="398"/>
      <c r="V148" s="398"/>
      <c r="W148" s="399"/>
    </row>
    <row r="149" spans="2:23">
      <c r="B149" s="65"/>
      <c r="C149" s="44"/>
      <c r="D149" s="44"/>
      <c r="E149" s="64"/>
      <c r="F149" s="64"/>
      <c r="G149" s="64"/>
      <c r="H149" s="64"/>
      <c r="I149" s="181"/>
      <c r="J149" s="64"/>
      <c r="K149" s="64"/>
      <c r="L149" s="64"/>
      <c r="M149" s="64"/>
      <c r="N149" s="255"/>
      <c r="O149" s="40"/>
      <c r="P149" s="40"/>
      <c r="Q149" s="68"/>
      <c r="R149" s="150"/>
      <c r="S149" s="397"/>
      <c r="T149" s="398"/>
      <c r="U149" s="398"/>
      <c r="V149" s="398"/>
      <c r="W149" s="399"/>
    </row>
    <row r="150" spans="2:23">
      <c r="B150" s="65"/>
      <c r="C150" s="44"/>
      <c r="D150" s="44"/>
      <c r="E150" s="40"/>
      <c r="F150" s="40"/>
      <c r="G150" s="40"/>
      <c r="H150" s="40"/>
      <c r="I150" s="51"/>
      <c r="J150" s="40"/>
      <c r="K150" s="40"/>
      <c r="L150" s="40"/>
      <c r="M150" s="40"/>
      <c r="N150" s="255"/>
      <c r="O150" s="40"/>
      <c r="P150" s="40"/>
      <c r="Q150" s="68"/>
      <c r="R150" s="150"/>
      <c r="S150" s="397"/>
      <c r="T150" s="398"/>
      <c r="U150" s="398"/>
      <c r="V150" s="398"/>
      <c r="W150" s="399"/>
    </row>
    <row r="151" spans="2:23">
      <c r="B151" s="65"/>
      <c r="C151" s="44"/>
      <c r="D151" s="44"/>
      <c r="E151" s="401" t="str">
        <f>IF(K8&gt;Annexes!Q29,"",IF(K8&gt;=Annexes!O20,"Aide pour Mars 2021 :",""))</f>
        <v/>
      </c>
      <c r="F151" s="402"/>
      <c r="G151" s="402"/>
      <c r="H151" s="402"/>
      <c r="I151" s="402"/>
      <c r="J151" s="402"/>
      <c r="K151" s="40"/>
      <c r="L151" s="40"/>
      <c r="M151" s="40"/>
      <c r="N151" s="255"/>
      <c r="O151" s="40"/>
      <c r="P151" s="40"/>
      <c r="Q151" s="68"/>
      <c r="R151" s="150"/>
      <c r="S151" s="397"/>
      <c r="T151" s="398"/>
      <c r="U151" s="398"/>
      <c r="V151" s="398"/>
      <c r="W151" s="399"/>
    </row>
    <row r="152" spans="2:23" ht="15.75" thickBot="1">
      <c r="B152" s="65"/>
      <c r="C152" s="44"/>
      <c r="D152" s="44"/>
      <c r="E152" s="400" t="str">
        <f>IF(K8&gt;Annexes!Q29,"",IF(K8&gt;Annexes!Q26,"Entreprise créée entre le 1er Novembre et le 31 Décembre 2020 :",IF(K8&gt;=Annexes!Q25,"Entreprise créée entre le 1er et le 30 Octobre 2020 :",IF(K8&gt;=Annexes!Q18,"Entreprise créée entre le 1er Mars le 30 Septembre 2020 :",IF(K8&gt;=Annexes!Q16,"Entreprise créée entre le 1er et le 29 février 2020 :",IF(K8&gt;=Annexes!O20,"Entreprise créée entre le 1er Juin 2019 et le 31 Janvier 2020 :",""))))))</f>
        <v/>
      </c>
      <c r="F152" s="400"/>
      <c r="G152" s="400"/>
      <c r="H152" s="400"/>
      <c r="I152" s="400"/>
      <c r="J152" s="400"/>
      <c r="K152" s="40"/>
      <c r="L152" s="40"/>
      <c r="M152" s="40"/>
      <c r="N152" s="255"/>
      <c r="O152" s="40"/>
      <c r="P152" s="40"/>
      <c r="Q152" s="68"/>
      <c r="R152" s="150"/>
      <c r="S152" s="397"/>
      <c r="T152" s="398"/>
      <c r="U152" s="398"/>
      <c r="V152" s="398"/>
      <c r="W152" s="399"/>
    </row>
    <row r="153" spans="2:23" ht="15.75" thickBot="1">
      <c r="B153" s="65"/>
      <c r="C153" s="44"/>
      <c r="D153" s="44"/>
      <c r="E153" s="400" t="str">
        <f>IF(K8&gt;Annexes!Q29,"",IF(K8&gt;Annexes!Q26,"- Chiffre d'affaires du mois de Janvier  2021",IF(K8&gt;=Annexes!Q25,"- Chiffre d'affaires du mois de Décembre 2020",IF(K8&gt;=Annexes!Q22,"- Chiffre d'affaires entre la création et le 31 Octobre 2020 :",IF(K8&gt;=Annexes!Q18,"- Chiffre d'affaires entre le 1er Juillet et le 31 Octobre 2020 :",IF(K8&gt;=Annexes!Q16,"- Chiffre d'affaires du mois de février 2020 :",IF(K8&gt;=Annexes!O20,"- Chiffre d'affaires entre la création et le 29 février 2020 :","")))))))</f>
        <v/>
      </c>
      <c r="F153" s="400"/>
      <c r="G153" s="400"/>
      <c r="H153" s="400"/>
      <c r="I153" s="400"/>
      <c r="J153" s="400"/>
      <c r="K153" s="40"/>
      <c r="L153" s="40"/>
      <c r="M153" s="114">
        <v>0</v>
      </c>
      <c r="N153" s="255"/>
      <c r="O153" s="40"/>
      <c r="P153" s="40"/>
      <c r="Q153" s="68"/>
      <c r="R153" s="150"/>
      <c r="S153" s="397"/>
      <c r="T153" s="398"/>
      <c r="U153" s="398"/>
      <c r="V153" s="398"/>
      <c r="W153" s="399"/>
    </row>
    <row r="154" spans="2:23">
      <c r="B154" s="65"/>
      <c r="C154" s="44"/>
      <c r="D154" s="44"/>
      <c r="E154" s="257" t="str">
        <f>IF(K8&gt;Annexes!Q29,"",IF(AND(K8&gt;=Annexes!Q25,K8&lt;=Annexes!Q26),"ou, en cas d'interdiction d'accueil du public, le chiffre d'affaires du mois d'Octobre 2020 ramené sur un mois",""))</f>
        <v/>
      </c>
      <c r="F154" s="40"/>
      <c r="G154" s="40"/>
      <c r="H154" s="40"/>
      <c r="I154" s="51"/>
      <c r="J154" s="40"/>
      <c r="K154" s="40"/>
      <c r="L154" s="40"/>
      <c r="M154" s="40"/>
      <c r="N154" s="255"/>
      <c r="O154" s="40"/>
      <c r="P154" s="40"/>
      <c r="Q154" s="68"/>
      <c r="R154" s="150"/>
      <c r="S154" s="397"/>
      <c r="T154" s="398"/>
      <c r="U154" s="398"/>
      <c r="V154" s="398"/>
      <c r="W154" s="399"/>
    </row>
    <row r="155" spans="2:23">
      <c r="B155" s="65"/>
      <c r="C155" s="44"/>
      <c r="D155" s="44"/>
      <c r="E155" s="40"/>
      <c r="F155" s="403" t="str">
        <f>IF(K8&gt;Annexes!Q29,"",IF(K8&gt;=Annexes!O14,"CA moyen sur un mois :",""))</f>
        <v/>
      </c>
      <c r="G155" s="403"/>
      <c r="H155" s="403"/>
      <c r="I155" s="51" t="str">
        <f>IFERROR(IF(K8&gt;Annexes!Q29,"",IF(K8&gt;=Annexes!Q25,M153,IF(K8&gt;=Annexes!Q22,M153*360/(Annexes!Q26-K8+1)/12,IF(K8&gt;=Annexes!Q18,M153/4,IF(K8&gt;=Annexes!Q16,M153*360/(Annexes!Q17-K8+1)/12,IF(K8&gt;=Annexes!O20,M153*360/(Annexes!Q17-K8+1)/12,"")))))),0)</f>
        <v/>
      </c>
      <c r="J155" s="40"/>
      <c r="K155" s="40"/>
      <c r="L155" s="40"/>
      <c r="M155" s="40"/>
      <c r="N155" s="255"/>
      <c r="O155" s="40"/>
      <c r="P155" s="40"/>
      <c r="Q155" s="68"/>
      <c r="R155" s="150"/>
      <c r="S155" s="397"/>
      <c r="T155" s="398"/>
      <c r="U155" s="398"/>
      <c r="V155" s="398"/>
      <c r="W155" s="399"/>
    </row>
    <row r="156" spans="2:23">
      <c r="B156" s="65"/>
      <c r="C156" s="44"/>
      <c r="D156" s="44"/>
      <c r="E156" s="64"/>
      <c r="F156" s="64"/>
      <c r="G156" s="64"/>
      <c r="H156" s="64"/>
      <c r="I156" s="181"/>
      <c r="J156" s="64"/>
      <c r="K156" s="64"/>
      <c r="L156" s="64"/>
      <c r="M156" s="64"/>
      <c r="N156" s="255"/>
      <c r="O156" s="40"/>
      <c r="P156" s="40"/>
      <c r="Q156" s="68"/>
      <c r="R156" s="150"/>
      <c r="S156" s="397"/>
      <c r="T156" s="398"/>
      <c r="U156" s="398"/>
      <c r="V156" s="398"/>
      <c r="W156" s="399"/>
    </row>
    <row r="157" spans="2:23">
      <c r="B157" s="65"/>
      <c r="C157" s="44"/>
      <c r="D157" s="44"/>
      <c r="E157" s="44"/>
      <c r="F157" s="44"/>
      <c r="G157" s="44"/>
      <c r="H157" s="44"/>
      <c r="I157" s="51"/>
      <c r="J157" s="44"/>
      <c r="K157" s="44"/>
      <c r="L157" s="44"/>
      <c r="M157" s="44"/>
      <c r="N157" s="255"/>
      <c r="O157" s="40"/>
      <c r="P157" s="40"/>
      <c r="Q157" s="68"/>
      <c r="R157" s="150"/>
      <c r="S157" s="397"/>
      <c r="T157" s="398"/>
      <c r="U157" s="398"/>
      <c r="V157" s="398"/>
      <c r="W157" s="399"/>
    </row>
    <row r="158" spans="2:23">
      <c r="B158" s="65"/>
      <c r="C158" s="44"/>
      <c r="D158" s="44"/>
      <c r="E158" s="401" t="str">
        <f>IF(K8&gt;Annexes!Q26,"",IF(K8&gt;=Annexes!O20,"Aide pour Janvier et Février 2021 :",""))</f>
        <v/>
      </c>
      <c r="F158" s="402"/>
      <c r="G158" s="402"/>
      <c r="H158" s="402"/>
      <c r="I158" s="402"/>
      <c r="J158" s="402"/>
      <c r="K158" s="40"/>
      <c r="L158" s="40"/>
      <c r="M158" s="40"/>
      <c r="N158" s="255"/>
      <c r="O158" s="40"/>
      <c r="P158" s="40"/>
      <c r="Q158" s="68"/>
      <c r="R158" s="150"/>
      <c r="S158" s="397"/>
      <c r="T158" s="398"/>
      <c r="U158" s="398"/>
      <c r="V158" s="398"/>
      <c r="W158" s="399"/>
    </row>
    <row r="159" spans="2:23" ht="15.75" thickBot="1">
      <c r="B159" s="65"/>
      <c r="C159" s="44"/>
      <c r="D159" s="44"/>
      <c r="E159" s="400" t="str">
        <f>IF(K8&gt;Annexes!Q26,"",IF(K8&gt;=Annexes!Q25,"Entreprise créée entre le 1er et le 30 Octobre 2020 :",IF(K8&gt;=Annexes!Q18,"Entreprise créée entre le 1er Mars le 30 Septembre 2020 :",IF(K8&gt;=Annexes!Q16,"Entreprise créée entre le 1er et le 29 février 2020 :",IF(K8&gt;=Annexes!O20,"Entreprise créée entre le 1er Juin 2019 et le 31 Janvier 2020 :","")))))</f>
        <v/>
      </c>
      <c r="F159" s="400"/>
      <c r="G159" s="400"/>
      <c r="H159" s="400"/>
      <c r="I159" s="400"/>
      <c r="J159" s="400"/>
      <c r="K159" s="40"/>
      <c r="L159" s="40"/>
      <c r="M159" s="40"/>
      <c r="N159" s="255"/>
      <c r="O159" s="40"/>
      <c r="P159" s="40"/>
      <c r="Q159" s="68"/>
      <c r="R159" s="150"/>
      <c r="S159" s="397"/>
      <c r="T159" s="398"/>
      <c r="U159" s="398"/>
      <c r="V159" s="398"/>
      <c r="W159" s="399"/>
    </row>
    <row r="160" spans="2:23" ht="15.75" thickBot="1">
      <c r="B160" s="65"/>
      <c r="C160" s="44"/>
      <c r="D160" s="44"/>
      <c r="E160" s="400" t="str">
        <f>IF(K8&gt;Annexes!Q26,"",IF(K8&gt;=Annexes!Q25,"- Chiffre d'affaires du mois de Décembre 2020",IF(K8&gt;=Annexes!Q22,"- Chiffre d'affaires entre la création et le 31 Octobre 2020 :",IF(K8&gt;=Annexes!Q18,"- Chiffre d'affaires entre le 1er Juillet et le 31 Octobre 2020 :",IF(K8&gt;=Annexes!Q16,"- Chiffre d'affaires du mois de février 2020 :",IF(K8&gt;=Annexes!O20,"- Chiffre d'affaires entre la création et le 29 février 2020 :",""))))))</f>
        <v/>
      </c>
      <c r="F160" s="400"/>
      <c r="G160" s="400"/>
      <c r="H160" s="400"/>
      <c r="I160" s="400"/>
      <c r="J160" s="400"/>
      <c r="K160" s="40"/>
      <c r="L160" s="40"/>
      <c r="M160" s="114">
        <v>0</v>
      </c>
      <c r="N160" s="255"/>
      <c r="O160" s="40"/>
      <c r="P160" s="40"/>
      <c r="Q160" s="68"/>
      <c r="R160" s="150"/>
      <c r="S160" s="397"/>
      <c r="T160" s="398"/>
      <c r="U160" s="398"/>
      <c r="V160" s="398"/>
      <c r="W160" s="399"/>
    </row>
    <row r="161" spans="2:23">
      <c r="B161" s="65"/>
      <c r="C161" s="44"/>
      <c r="D161" s="44"/>
      <c r="E161" s="257" t="str">
        <f>IF(K8&gt;Annexes!Q26,"",IF(K8&gt;=Annexes!Q25,"ou, en cas d'interdiction d'accueil du public, le chiffre d'affaires du mois d'Octobre 2020 ramené sur un mois",""))</f>
        <v/>
      </c>
      <c r="F161" s="40"/>
      <c r="G161" s="40"/>
      <c r="H161" s="40"/>
      <c r="I161" s="51"/>
      <c r="J161" s="40"/>
      <c r="K161" s="40"/>
      <c r="L161" s="40"/>
      <c r="M161" s="40"/>
      <c r="N161" s="255"/>
      <c r="O161" s="40"/>
      <c r="P161" s="40"/>
      <c r="Q161" s="68"/>
      <c r="R161" s="150"/>
      <c r="S161" s="397"/>
      <c r="T161" s="398"/>
      <c r="U161" s="398"/>
      <c r="V161" s="398"/>
      <c r="W161" s="399"/>
    </row>
    <row r="162" spans="2:23">
      <c r="B162" s="65"/>
      <c r="C162" s="44"/>
      <c r="D162" s="44"/>
      <c r="E162" s="40"/>
      <c r="F162" s="403" t="str">
        <f>IF(K8&gt;Annexes!Q26,"",IF(K8&gt;=Annexes!O14,"CA moyen sur un mois :",""))</f>
        <v/>
      </c>
      <c r="G162" s="403"/>
      <c r="H162" s="403"/>
      <c r="I162" s="51" t="str">
        <f>IFERROR(IF(K8&gt;Annexes!Q26,"",IF(K8&gt;=Annexes!Q25,M160,IF(K8&gt;=Annexes!Q22,M160*360/(Annexes!Q26-K8+1)/12,IF(K8&gt;=Annexes!Q18,M160/4,IF(K8&gt;=Annexes!Q16,M160*360/(Annexes!Q17-K8+1)/12,IF(K8&gt;=Annexes!O20,M160*360/(Annexes!Q17-K8+1)/12,"")))))),0)</f>
        <v/>
      </c>
      <c r="J162" s="40"/>
      <c r="K162" s="40"/>
      <c r="L162" s="40"/>
      <c r="M162" s="40"/>
      <c r="N162" s="255"/>
      <c r="O162" s="40"/>
      <c r="P162" s="40"/>
      <c r="Q162" s="68"/>
      <c r="R162" s="150"/>
      <c r="S162" s="397"/>
      <c r="T162" s="398"/>
      <c r="U162" s="398"/>
      <c r="V162" s="398"/>
      <c r="W162" s="399"/>
    </row>
    <row r="163" spans="2:23">
      <c r="B163" s="65"/>
      <c r="C163" s="44"/>
      <c r="D163" s="44"/>
      <c r="E163" s="64"/>
      <c r="F163" s="64"/>
      <c r="G163" s="64"/>
      <c r="H163" s="64"/>
      <c r="I163" s="181"/>
      <c r="J163" s="64"/>
      <c r="K163" s="64"/>
      <c r="L163" s="64"/>
      <c r="M163" s="64"/>
      <c r="N163" s="255"/>
      <c r="O163" s="40"/>
      <c r="P163" s="40"/>
      <c r="Q163" s="68"/>
      <c r="R163" s="150"/>
      <c r="S163" s="397"/>
      <c r="T163" s="398"/>
      <c r="U163" s="398"/>
      <c r="V163" s="398"/>
      <c r="W163" s="399"/>
    </row>
    <row r="164" spans="2:23">
      <c r="B164" s="65"/>
      <c r="C164" s="44"/>
      <c r="D164" s="44"/>
      <c r="E164" s="40"/>
      <c r="F164" s="40"/>
      <c r="G164" s="40"/>
      <c r="H164" s="40"/>
      <c r="I164" s="51"/>
      <c r="J164" s="40"/>
      <c r="K164" s="40"/>
      <c r="L164" s="40"/>
      <c r="M164" s="40"/>
      <c r="N164" s="58"/>
      <c r="O164" s="40"/>
      <c r="P164" s="40"/>
      <c r="Q164" s="68"/>
      <c r="R164" s="150"/>
      <c r="S164" s="397"/>
      <c r="T164" s="398"/>
      <c r="U164" s="398"/>
      <c r="V164" s="398"/>
      <c r="W164" s="399"/>
    </row>
    <row r="165" spans="2:23">
      <c r="B165" s="65"/>
      <c r="C165" s="44"/>
      <c r="D165" s="44"/>
      <c r="E165" s="402" t="str">
        <f>IF(K8&gt;Annexes!Q24,"",IF(K8&gt;=Annexes!O20,"Aide pour Décembre 2020 :",""))</f>
        <v/>
      </c>
      <c r="F165" s="402"/>
      <c r="G165" s="402"/>
      <c r="H165" s="402"/>
      <c r="I165" s="402"/>
      <c r="J165" s="402"/>
      <c r="K165" s="40"/>
      <c r="L165" s="40"/>
      <c r="M165" s="40"/>
      <c r="N165" s="58"/>
      <c r="O165" s="40"/>
      <c r="P165" s="40"/>
      <c r="Q165" s="68"/>
      <c r="R165" s="150"/>
      <c r="S165" s="397"/>
      <c r="T165" s="398"/>
      <c r="U165" s="398"/>
      <c r="V165" s="398"/>
      <c r="W165" s="399"/>
    </row>
    <row r="166" spans="2:23" ht="15.75" thickBot="1">
      <c r="B166" s="65"/>
      <c r="C166" s="44"/>
      <c r="D166" s="44"/>
      <c r="E166" s="400" t="str">
        <f>IF(K8&gt;Annexes!Q24,"",IF(K8&gt;Annexes!Q22,"Entreprise créée entre le 1er Juillet et le 30 Septembre 2020 :",IF(K8&gt;=Annexes!Q18,"Entreprise créée entre le 1er Mars le 1er Juillet 2020 :",IF(K8&gt;=Annexes!Q16,"Entreprise créée entre le 1er février 2020 et le 29 février 2020 :",IF(K8&gt;=Annexes!O20,"Entreprise créée entre le 1er Juin 2019 et le 31 Janvier 2020 :","")))))</f>
        <v/>
      </c>
      <c r="F166" s="400"/>
      <c r="G166" s="400"/>
      <c r="H166" s="400"/>
      <c r="I166" s="400"/>
      <c r="J166" s="400"/>
      <c r="K166" s="40"/>
      <c r="L166" s="40"/>
      <c r="M166" s="40"/>
      <c r="N166" s="40"/>
      <c r="O166" s="40"/>
      <c r="P166" s="40"/>
      <c r="Q166" s="68"/>
      <c r="R166" s="150"/>
      <c r="S166" s="397"/>
      <c r="T166" s="398"/>
      <c r="U166" s="398"/>
      <c r="V166" s="398"/>
      <c r="W166" s="399"/>
    </row>
    <row r="167" spans="2:23" ht="15.75" thickBot="1">
      <c r="B167" s="65"/>
      <c r="C167" s="44"/>
      <c r="D167" s="44"/>
      <c r="E167" s="400" t="str">
        <f>IF(K8&gt;Annexes!Q24,"",IF(K8&gt;Annexes!Q22,"- Chiffre d'affaires entre la création et le 31 Octobre 2020 :",IF(K8&gt;=Annexes!Q18,"- Chiffre d'affaires entre le 1er Juillet et le 31 Octobre 2020 :",IF(K8&gt;=Annexes!Q16,"- Chiffre d'affaires du mois de février 2020 :",IF(K8&gt;=Annexes!O20,"- Chiffre d'affaires entre la création et le 29 février 2020 :","")))))</f>
        <v/>
      </c>
      <c r="F167" s="400"/>
      <c r="G167" s="400"/>
      <c r="H167" s="400"/>
      <c r="I167" s="400"/>
      <c r="J167" s="400"/>
      <c r="K167" s="40"/>
      <c r="L167" s="40"/>
      <c r="M167" s="114">
        <v>0</v>
      </c>
      <c r="N167" s="90"/>
      <c r="O167" s="40"/>
      <c r="P167" s="40"/>
      <c r="Q167" s="68"/>
      <c r="R167" s="150"/>
      <c r="S167" s="397"/>
      <c r="T167" s="398"/>
      <c r="U167" s="398"/>
      <c r="V167" s="398"/>
      <c r="W167" s="399"/>
    </row>
    <row r="168" spans="2:23">
      <c r="B168" s="65"/>
      <c r="C168" s="44"/>
      <c r="D168" s="44"/>
      <c r="E168" s="40"/>
      <c r="F168" s="40"/>
      <c r="G168" s="40"/>
      <c r="H168" s="40"/>
      <c r="I168" s="51"/>
      <c r="J168" s="40"/>
      <c r="K168" s="40"/>
      <c r="L168" s="40"/>
      <c r="M168" s="40"/>
      <c r="N168" s="40"/>
      <c r="O168" s="40"/>
      <c r="P168" s="40"/>
      <c r="Q168" s="68"/>
      <c r="R168" s="150"/>
      <c r="S168" s="397"/>
      <c r="T168" s="398"/>
      <c r="U168" s="398"/>
      <c r="V168" s="398"/>
      <c r="W168" s="399"/>
    </row>
    <row r="169" spans="2:23" ht="15.75" customHeight="1">
      <c r="B169" s="65"/>
      <c r="C169" s="44"/>
      <c r="D169" s="44"/>
      <c r="E169" s="40"/>
      <c r="F169" s="403" t="str">
        <f>IF(K8&gt;Annexes!Q24,"",IF(K8&gt;=Annexes!O20,"CA moyen sur un mois :",""))</f>
        <v/>
      </c>
      <c r="G169" s="403"/>
      <c r="H169" s="403"/>
      <c r="I169" s="51" t="str">
        <f>IF(K8&gt;Annexes!Q24,"",IF(K8&gt;Annexes!Q22,M167*360/(Annexes!Q26-K8+1)/12,IF(K8&gt;=Annexes!Q18,M167*360/123/12,IF(K8&gt;=Annexes!Q16,M167*29/(Annexes!Q17-K8+1),IF(K8&gt;=Annexes!O20,M167*360/(Annexes!Q17-K8+1)/12,"")))))</f>
        <v/>
      </c>
      <c r="J169" s="40"/>
      <c r="K169" s="40"/>
      <c r="L169" s="40"/>
      <c r="M169" s="40"/>
      <c r="N169" s="40"/>
      <c r="O169" s="40"/>
      <c r="P169" s="40"/>
      <c r="Q169" s="68"/>
      <c r="R169" s="150"/>
      <c r="S169" s="397"/>
      <c r="T169" s="398"/>
      <c r="U169" s="398"/>
      <c r="V169" s="398"/>
      <c r="W169" s="399"/>
    </row>
    <row r="170" spans="2:23" ht="15.75" customHeight="1">
      <c r="B170" s="65"/>
      <c r="C170" s="44"/>
      <c r="D170" s="44"/>
      <c r="E170" s="64"/>
      <c r="F170" s="64"/>
      <c r="G170" s="64"/>
      <c r="H170" s="64"/>
      <c r="I170" s="181"/>
      <c r="J170" s="64"/>
      <c r="K170" s="64"/>
      <c r="L170" s="64"/>
      <c r="M170" s="64"/>
      <c r="N170" s="40"/>
      <c r="O170" s="40"/>
      <c r="P170" s="40"/>
      <c r="Q170" s="68"/>
      <c r="R170" s="150"/>
      <c r="S170" s="397"/>
      <c r="T170" s="398"/>
      <c r="U170" s="398"/>
      <c r="V170" s="398"/>
      <c r="W170" s="399"/>
    </row>
    <row r="171" spans="2:23">
      <c r="B171" s="65"/>
      <c r="C171" s="44"/>
      <c r="D171" s="44"/>
      <c r="E171" s="40"/>
      <c r="F171" s="40"/>
      <c r="G171" s="40"/>
      <c r="H171" s="40"/>
      <c r="I171" s="51"/>
      <c r="J171" s="40"/>
      <c r="K171" s="40"/>
      <c r="L171" s="40"/>
      <c r="M171" s="40"/>
      <c r="N171" s="40"/>
      <c r="O171" s="40"/>
      <c r="P171" s="40"/>
      <c r="Q171" s="68"/>
      <c r="R171" s="150"/>
      <c r="S171" s="397"/>
      <c r="T171" s="398"/>
      <c r="U171" s="398"/>
      <c r="V171" s="398"/>
      <c r="W171" s="399"/>
    </row>
    <row r="172" spans="2:23">
      <c r="B172" s="65"/>
      <c r="C172" s="44"/>
      <c r="D172" s="44"/>
      <c r="E172" s="402" t="str">
        <f>IF(K8&gt;Annexes!Q24,"",(IF(K8&gt;=Annexes!O20,"Aides pour Septembre, Octobre et Novembre 2020 :","")))</f>
        <v/>
      </c>
      <c r="F172" s="402"/>
      <c r="G172" s="402"/>
      <c r="H172" s="402"/>
      <c r="I172" s="402"/>
      <c r="J172" s="402"/>
      <c r="K172" s="182"/>
      <c r="L172" s="182"/>
      <c r="M172" s="182"/>
      <c r="N172" s="40"/>
      <c r="O172" s="40"/>
      <c r="P172" s="40"/>
      <c r="Q172" s="68"/>
      <c r="R172" s="150"/>
      <c r="S172" s="397"/>
      <c r="T172" s="398"/>
      <c r="U172" s="398"/>
      <c r="V172" s="398"/>
      <c r="W172" s="399"/>
    </row>
    <row r="173" spans="2:23" ht="15.75" customHeight="1" thickBot="1">
      <c r="B173" s="65"/>
      <c r="C173" s="44"/>
      <c r="D173" s="44"/>
      <c r="E173" s="480" t="str">
        <f>IF(K8&gt;Annexes!Q24,"",IF(K8&gt;Annexes!Q22,"Entreprise créée entre le 1er Juillet et le 30 Septembre 2020 :",IF(K8&gt;=Annexes!Q18,"Entreprise créée entre le 1er Mars le 1er Juillet 2020 :",IF(K8&gt;=Annexes!Q16,"Entreprise créée entre le 1er février 2020 et le 29 février 2020 :",IF(K8&gt;=Annexes!O20,"Entreprise créée entre le 1er Juin 2019 et le 31 Janvier 2020 :","")))))</f>
        <v/>
      </c>
      <c r="F173" s="480"/>
      <c r="G173" s="480"/>
      <c r="H173" s="480"/>
      <c r="I173" s="480"/>
      <c r="J173" s="480"/>
      <c r="K173" s="182"/>
      <c r="L173" s="182"/>
      <c r="M173" s="182"/>
      <c r="N173" s="40"/>
      <c r="O173" s="40"/>
      <c r="P173" s="40"/>
      <c r="Q173" s="68"/>
      <c r="R173" s="152"/>
      <c r="S173" s="397"/>
      <c r="T173" s="398"/>
      <c r="U173" s="398"/>
      <c r="V173" s="398"/>
      <c r="W173" s="399"/>
    </row>
    <row r="174" spans="2:23" ht="15.75" thickBot="1">
      <c r="B174" s="65"/>
      <c r="C174" s="44"/>
      <c r="D174" s="44"/>
      <c r="E174" s="481" t="str">
        <f>IF(K8&gt;Annexes!Q24,"",IF(K8&gt;Annexes!Q22,"- Chiffre d'affaires entre la création et le 30 Septembre 2020 :",IF(K8&gt;=Annexes!Q18,"- Chiffre d'affaires entre le 1er Juillet et le 30 Septembre 2020 :",IF(K8&gt;=Annexes!Q16,"- Chiffre d'affaires du mois de février 2020 :",IF(K8&gt;=Annexes!O20,"- Chiffre d'affaires entre la création et le 29 février 2020 :","")))))</f>
        <v/>
      </c>
      <c r="F174" s="481"/>
      <c r="G174" s="481"/>
      <c r="H174" s="481"/>
      <c r="I174" s="481"/>
      <c r="J174" s="481"/>
      <c r="K174" s="183"/>
      <c r="L174" s="183"/>
      <c r="M174" s="114">
        <v>0</v>
      </c>
      <c r="N174" s="90"/>
      <c r="O174" s="40"/>
      <c r="P174" s="40"/>
      <c r="Q174" s="72"/>
      <c r="R174" s="152"/>
      <c r="S174" s="397"/>
      <c r="T174" s="398"/>
      <c r="U174" s="398"/>
      <c r="V174" s="398"/>
      <c r="W174" s="399"/>
    </row>
    <row r="175" spans="2:23">
      <c r="B175" s="65"/>
      <c r="C175" s="44"/>
      <c r="D175" s="44"/>
      <c r="E175" s="44"/>
      <c r="F175" s="44"/>
      <c r="G175" s="44"/>
      <c r="H175" s="44"/>
      <c r="I175" s="51"/>
      <c r="J175" s="44"/>
      <c r="K175" s="44"/>
      <c r="L175" s="44"/>
      <c r="M175" s="44"/>
      <c r="N175" s="40"/>
      <c r="O175" s="40"/>
      <c r="P175" s="54"/>
      <c r="Q175" s="72"/>
      <c r="R175" s="152"/>
      <c r="S175" s="397"/>
      <c r="T175" s="398"/>
      <c r="U175" s="398"/>
      <c r="V175" s="398"/>
      <c r="W175" s="399"/>
    </row>
    <row r="176" spans="2:23">
      <c r="B176" s="65"/>
      <c r="C176" s="44"/>
      <c r="D176" s="44"/>
      <c r="E176" s="44"/>
      <c r="F176" s="424" t="str">
        <f>IF(K8&gt;Annexes!Q24,"",IF(K8&gt;=Annexes!O20,"CA moyen sur un mois :",""))</f>
        <v/>
      </c>
      <c r="G176" s="424"/>
      <c r="H176" s="424"/>
      <c r="I176" s="185" t="str">
        <f>IF(K8&gt;Annexes!Q24,"",IF(K8&gt;Annexes!Q22,M174*360/(Annexes!Q24-K8+1)/12,IF(K8&gt;=Annexes!Q18,M174*360/92/12,IF(K8&gt;=Annexes!Q16,M174*29/(Annexes!Q17-K8+1),IF(K8&gt;=Annexes!O20,M174*360/(Annexes!Q17-K8+1)/12,"")))))</f>
        <v/>
      </c>
      <c r="J176" s="44"/>
      <c r="K176" s="44"/>
      <c r="L176" s="44"/>
      <c r="M176" s="44"/>
      <c r="N176" s="40"/>
      <c r="O176" s="40"/>
      <c r="P176" s="54"/>
      <c r="Q176" s="72"/>
      <c r="R176" s="152"/>
      <c r="S176" s="397"/>
      <c r="T176" s="398"/>
      <c r="U176" s="398"/>
      <c r="V176" s="398"/>
      <c r="W176" s="399"/>
    </row>
    <row r="177" spans="2:23">
      <c r="B177" s="65"/>
      <c r="C177" s="44"/>
      <c r="D177" s="44"/>
      <c r="E177" s="44"/>
      <c r="F177" s="424" t="str">
        <f>IF(AND(Annexes!M9=TRUE,Annexes!M4&gt;1),IF(AND(K8&lt;=Annexes!Q23,K8&gt;=Annexes!O20),"Soit sur "&amp;Annexes!M4-1&amp;" Jour(s) (Septembre) :",""),"")</f>
        <v/>
      </c>
      <c r="G177" s="424"/>
      <c r="H177" s="424"/>
      <c r="I177" s="51" t="str">
        <f>IF(AND(Annexes!M9=TRUE,Annexes!M4&gt;1),IF(AND(K8&lt;=Annexes!Q23,K8&gt;=Annexes!O20),I176/30*(Annexes!M4-1),""),"")</f>
        <v/>
      </c>
      <c r="J177" s="44"/>
      <c r="K177" s="44"/>
      <c r="L177" s="44"/>
      <c r="M177" s="44"/>
      <c r="N177" s="40"/>
      <c r="O177" s="40"/>
      <c r="P177" s="51"/>
      <c r="Q177" s="72"/>
      <c r="R177" s="153"/>
      <c r="S177" s="397"/>
      <c r="T177" s="398"/>
      <c r="U177" s="398"/>
      <c r="V177" s="398"/>
      <c r="W177" s="399"/>
    </row>
    <row r="178" spans="2:23">
      <c r="B178" s="71"/>
      <c r="C178" s="44"/>
      <c r="D178" s="44"/>
      <c r="E178" s="44"/>
      <c r="F178" s="424" t="str">
        <f>IF(AND(Annexes!M9=TRUE,Annexes!M6&gt;1),IF(AND(K8&lt;=Annexes!Q23,K8&gt;=Annexes!O20),"Soit sur "&amp;Annexes!M6-1&amp;" Jour(s) (Octobre):",""),"")</f>
        <v/>
      </c>
      <c r="G178" s="424"/>
      <c r="H178" s="424"/>
      <c r="I178" s="51" t="str">
        <f>IF(AND(Annexes!M9=TRUE,Annexes!M6&gt;1),IF(AND(K8&lt;=Annexes!Q23,K8&gt;=Annexes!O20),I176/30*(Annexes!M6-1),""),"")</f>
        <v/>
      </c>
      <c r="J178" s="44"/>
      <c r="K178" s="44"/>
      <c r="L178" s="44"/>
      <c r="M178" s="44"/>
      <c r="N178" s="40"/>
      <c r="O178" s="40"/>
      <c r="P178" s="40"/>
      <c r="Q178" s="73"/>
      <c r="R178" s="154"/>
      <c r="S178" s="420"/>
      <c r="T178" s="421"/>
      <c r="U178" s="421"/>
      <c r="V178" s="421"/>
      <c r="W178" s="422"/>
    </row>
    <row r="179" spans="2:23">
      <c r="B179" s="65"/>
      <c r="C179" s="55"/>
      <c r="D179" s="55"/>
      <c r="E179" s="64"/>
      <c r="F179" s="186"/>
      <c r="G179" s="186"/>
      <c r="H179" s="186"/>
      <c r="I179" s="181"/>
      <c r="J179" s="64"/>
      <c r="K179" s="64"/>
      <c r="L179" s="64"/>
      <c r="M179" s="64"/>
      <c r="N179" s="40"/>
      <c r="O179" s="40"/>
      <c r="P179" s="44"/>
      <c r="Q179" s="68"/>
      <c r="R179" s="150"/>
      <c r="S179" s="420"/>
      <c r="T179" s="421"/>
      <c r="U179" s="421"/>
      <c r="V179" s="421"/>
      <c r="W179" s="422"/>
    </row>
    <row r="180" spans="2:23" ht="15" customHeight="1">
      <c r="B180" s="65"/>
      <c r="C180" s="44"/>
      <c r="D180" s="44"/>
      <c r="E180" s="44"/>
      <c r="F180" s="44"/>
      <c r="G180" s="44"/>
      <c r="H180" s="44"/>
      <c r="I180" s="51"/>
      <c r="J180" s="44"/>
      <c r="K180" s="44"/>
      <c r="L180" s="44"/>
      <c r="M180" s="44"/>
      <c r="N180" s="44"/>
      <c r="O180" s="40"/>
      <c r="P180" s="40"/>
      <c r="Q180" s="68"/>
      <c r="R180" s="155"/>
      <c r="S180" s="397"/>
      <c r="T180" s="398"/>
      <c r="U180" s="398"/>
      <c r="V180" s="398"/>
      <c r="W180" s="399"/>
    </row>
    <row r="181" spans="2:23" ht="15" customHeight="1">
      <c r="B181" s="65"/>
      <c r="C181" s="44"/>
      <c r="D181" s="44"/>
      <c r="E181" s="487" t="str">
        <f>IF(AND(Annexes!M9=TRUE,Annexes!M4&gt;1),IF(AND(K8&lt;=Annexes!Q23,K8&gt;=Annexes!Q18),"Aide pour Septembre 2020 :",""),"")</f>
        <v/>
      </c>
      <c r="F181" s="487"/>
      <c r="G181" s="487"/>
      <c r="H181" s="187"/>
      <c r="I181" s="44"/>
      <c r="J181" s="44"/>
      <c r="K181" s="44"/>
      <c r="L181" s="44"/>
      <c r="M181" s="44"/>
      <c r="N181" s="40"/>
      <c r="O181" s="40"/>
      <c r="P181" s="40"/>
      <c r="Q181" s="74"/>
      <c r="R181" s="155"/>
      <c r="S181" s="397"/>
      <c r="T181" s="398"/>
      <c r="U181" s="398"/>
      <c r="V181" s="398"/>
      <c r="W181" s="399"/>
    </row>
    <row r="182" spans="2:23" ht="15.75" thickBot="1">
      <c r="B182" s="65"/>
      <c r="C182" s="44"/>
      <c r="D182" s="44"/>
      <c r="E182" s="483" t="str">
        <f>IF(AND(Annexes!M9=TRUE,Annexes!M4&gt;1),IF(AND(K8&lt;=Annexes!Q23,K8&gt;=Annexes!Q18),"Entreprise créée entre le 1er Mars et le 31 Août 2020",""),"")</f>
        <v/>
      </c>
      <c r="F182" s="483"/>
      <c r="G182" s="483"/>
      <c r="H182" s="483"/>
      <c r="I182" s="483"/>
      <c r="J182" s="483"/>
      <c r="K182" s="483"/>
      <c r="L182" s="483"/>
      <c r="M182" s="483"/>
      <c r="N182" s="44"/>
      <c r="O182" s="40"/>
      <c r="P182" s="40"/>
      <c r="Q182" s="74"/>
      <c r="R182" s="150"/>
      <c r="S182" s="397"/>
      <c r="T182" s="398"/>
      <c r="U182" s="398"/>
      <c r="V182" s="398"/>
      <c r="W182" s="399"/>
    </row>
    <row r="183" spans="2:23" ht="15.75" thickBot="1">
      <c r="B183" s="1"/>
      <c r="C183" s="184"/>
      <c r="D183" s="44"/>
      <c r="E183" s="480" t="str">
        <f>IF(AND(Annexes!M9=TRUE,Annexes!M4&gt;1),IF(AND(K8&lt;=Annexes!Q23,K8&gt;=Annexes!Q18),"- Chiffre d'affaires entre la création et le 31 Août 2020 :",""),"")</f>
        <v/>
      </c>
      <c r="F183" s="480"/>
      <c r="G183" s="480"/>
      <c r="H183" s="480"/>
      <c r="I183" s="480"/>
      <c r="J183" s="480"/>
      <c r="K183" s="480"/>
      <c r="L183" s="480"/>
      <c r="M183" s="114">
        <v>0</v>
      </c>
      <c r="N183" s="90"/>
      <c r="O183" s="40"/>
      <c r="P183" s="44"/>
      <c r="Q183" s="68"/>
      <c r="R183" s="1"/>
      <c r="S183" s="397"/>
      <c r="T183" s="398"/>
      <c r="U183" s="398"/>
      <c r="V183" s="398"/>
      <c r="W183" s="399"/>
    </row>
    <row r="184" spans="2:23">
      <c r="B184" s="1"/>
      <c r="C184" s="184"/>
      <c r="D184" s="1"/>
      <c r="E184" s="44"/>
      <c r="F184" s="44"/>
      <c r="G184" s="44"/>
      <c r="H184" s="44"/>
      <c r="I184" s="44"/>
      <c r="J184" s="44"/>
      <c r="K184" s="44"/>
      <c r="L184" s="44"/>
      <c r="M184" s="44"/>
      <c r="N184" s="40"/>
      <c r="O184" s="40"/>
      <c r="P184" s="1"/>
      <c r="Q184" s="68"/>
      <c r="R184" s="1"/>
      <c r="S184" s="397"/>
      <c r="T184" s="398"/>
      <c r="U184" s="398"/>
      <c r="V184" s="398"/>
      <c r="W184" s="399"/>
    </row>
    <row r="185" spans="2:23">
      <c r="B185" s="8"/>
      <c r="C185" s="184"/>
      <c r="D185" s="1"/>
      <c r="E185" s="44"/>
      <c r="F185" s="424" t="str">
        <f>IF(AND(Annexes!M9=TRUE,Annexes!M4&gt;1),IF(AND(K8&lt;=Annexes!Q23,K8&gt;=Annexes!Q18),"Soit sur "&amp;Annexes!M4-1&amp;" Jour(s) :",""),"")</f>
        <v/>
      </c>
      <c r="G185" s="424"/>
      <c r="H185" s="424"/>
      <c r="I185" s="51" t="str">
        <f>IF(AND(Annexes!M9=TRUE,Annexes!M4&gt;1),IF(AND(K8&lt;=Annexes!Q23,K8&gt;=Annexes!Q18),M183*(Annexes!M4-1)/(Annexes!Q23-K8+1),""),"")</f>
        <v/>
      </c>
      <c r="J185" s="44"/>
      <c r="K185" s="44"/>
      <c r="L185" s="44"/>
      <c r="M185" s="44"/>
      <c r="N185" s="40"/>
      <c r="O185" s="40"/>
      <c r="P185" s="1"/>
      <c r="Q185" s="68"/>
      <c r="R185" s="1"/>
      <c r="S185" s="397"/>
      <c r="T185" s="398"/>
      <c r="U185" s="398"/>
      <c r="V185" s="398"/>
      <c r="W185" s="399"/>
    </row>
    <row r="186" spans="2:23">
      <c r="B186" s="1"/>
      <c r="C186" s="184"/>
      <c r="D186" s="8"/>
      <c r="E186" s="64"/>
      <c r="F186" s="186"/>
      <c r="G186" s="186"/>
      <c r="H186" s="186"/>
      <c r="I186" s="181"/>
      <c r="J186" s="64"/>
      <c r="K186" s="64"/>
      <c r="L186" s="64"/>
      <c r="M186" s="64"/>
      <c r="N186" s="40"/>
      <c r="O186" s="44"/>
      <c r="P186" s="1"/>
      <c r="Q186" s="68"/>
      <c r="R186" s="1"/>
      <c r="S186" s="397"/>
      <c r="T186" s="398"/>
      <c r="U186" s="398"/>
      <c r="V186" s="398"/>
      <c r="W186" s="399"/>
    </row>
    <row r="187" spans="2:23" ht="15.75" thickBot="1">
      <c r="B187" s="1"/>
      <c r="C187" s="184"/>
      <c r="D187" s="1"/>
      <c r="E187" s="44"/>
      <c r="F187" s="44"/>
      <c r="G187" s="44"/>
      <c r="H187" s="44"/>
      <c r="I187" s="44"/>
      <c r="J187" s="44"/>
      <c r="K187" s="44"/>
      <c r="L187" s="44"/>
      <c r="M187" s="44"/>
      <c r="N187" s="44"/>
      <c r="O187" s="40"/>
      <c r="P187" s="1"/>
      <c r="Q187" s="68"/>
      <c r="R187" s="1"/>
      <c r="S187" s="397"/>
      <c r="T187" s="398"/>
      <c r="U187" s="398"/>
      <c r="V187" s="398"/>
      <c r="W187" s="399"/>
    </row>
    <row r="188" spans="2:23" ht="15.75" thickBot="1">
      <c r="B188" s="1"/>
      <c r="C188" s="184"/>
      <c r="D188" s="1"/>
      <c r="E188" s="481" t="str">
        <f>IF(AND(K8&gt;=Annexes!O17,K8&lt;=Annexes!Q19),IF(OR(Annexes!M17=TRUE,AND(Annexes!F7&gt;1,Annexes!F7&lt;=Annexes!H8)),"- Chiffre d'affaires de la création au 15/03/2020 :","Case réservée aux activités mentionnées en annexe 2 (S1 bis) ou 3"),"")</f>
        <v/>
      </c>
      <c r="F188" s="481"/>
      <c r="G188" s="481"/>
      <c r="H188" s="481"/>
      <c r="I188" s="481"/>
      <c r="J188" s="481"/>
      <c r="K188" s="44"/>
      <c r="L188" s="44"/>
      <c r="M188" s="114">
        <v>0</v>
      </c>
      <c r="N188" s="90"/>
      <c r="O188" s="40"/>
      <c r="P188" s="1"/>
      <c r="Q188" s="68"/>
      <c r="R188" s="1"/>
      <c r="S188" s="397"/>
      <c r="T188" s="398"/>
      <c r="U188" s="398"/>
      <c r="V188" s="398"/>
      <c r="W188" s="399"/>
    </row>
    <row r="189" spans="2:23">
      <c r="B189" s="1"/>
      <c r="C189" s="184"/>
      <c r="D189" s="1"/>
      <c r="E189" s="55"/>
      <c r="F189" s="44"/>
      <c r="G189" s="44"/>
      <c r="H189" s="44"/>
      <c r="I189" s="44"/>
      <c r="J189" s="44"/>
      <c r="K189" s="44"/>
      <c r="L189" s="44"/>
      <c r="M189" s="44"/>
      <c r="N189" s="40"/>
      <c r="O189" s="40"/>
      <c r="P189" s="1"/>
      <c r="Q189" s="68"/>
      <c r="R189" s="1"/>
      <c r="S189" s="397"/>
      <c r="T189" s="398"/>
      <c r="U189" s="398"/>
      <c r="V189" s="398"/>
      <c r="W189" s="399"/>
    </row>
    <row r="190" spans="2:23">
      <c r="B190" s="1"/>
      <c r="C190" s="184"/>
      <c r="D190" s="1"/>
      <c r="E190" s="44"/>
      <c r="F190" s="479" t="str">
        <f>IF(AND(K8&gt;=Annexes!O17,K8&lt;=Annexes!Q19),IF(OR(Annexes!M17=TRUE,AND(Annexes!F7&gt;1,Annexes!F7&lt;=Annexes!H8)),"CA moyen sur deux mois :",""),"")</f>
        <v/>
      </c>
      <c r="G190" s="479"/>
      <c r="H190" s="479"/>
      <c r="I190" s="51" t="str">
        <f>IFERROR(IF(AND(K8&gt;=Annexes!O17,K8&lt;=Annexes!Q19),IF(OR(Annexes!M17=TRUE,AND(Annexes!F7&gt;1,Annexes!F7&lt;=Annexes!H8)),M188*360/(Annexes!Q20-K8+1)/6,""),""),0)</f>
        <v/>
      </c>
      <c r="J190" s="44"/>
      <c r="K190" s="44"/>
      <c r="L190" s="44"/>
      <c r="M190" s="44"/>
      <c r="N190" s="40"/>
      <c r="O190" s="44"/>
      <c r="P190" s="1"/>
      <c r="Q190" s="68"/>
      <c r="R190" s="1"/>
      <c r="S190" s="397"/>
      <c r="T190" s="398"/>
      <c r="U190" s="398"/>
      <c r="V190" s="398"/>
      <c r="W190" s="399"/>
    </row>
    <row r="191" spans="2:23" ht="15.75" thickBot="1">
      <c r="B191" s="1"/>
      <c r="C191" s="184"/>
      <c r="D191" s="1"/>
      <c r="E191" s="1"/>
      <c r="F191" s="1"/>
      <c r="G191" s="1"/>
      <c r="H191" s="1"/>
      <c r="I191" s="1"/>
      <c r="J191" s="1"/>
      <c r="K191" s="1"/>
      <c r="L191" s="1"/>
      <c r="M191" s="1"/>
      <c r="N191" s="1"/>
      <c r="O191" s="1"/>
      <c r="P191" s="1"/>
      <c r="Q191" s="68"/>
      <c r="R191" s="1"/>
      <c r="S191" s="397"/>
      <c r="T191" s="398"/>
      <c r="U191" s="398"/>
      <c r="V191" s="398"/>
      <c r="W191" s="399"/>
    </row>
    <row r="192" spans="2:23" ht="15.75" thickBot="1">
      <c r="B192" s="1"/>
      <c r="C192" s="184"/>
      <c r="D192" s="1"/>
      <c r="E192" s="481" t="str">
        <f>IF(AND(K8&gt;=Annexes!Q14,K8&lt;=Annexes!Q27),IF(OR(Annexes!M17=TRUE,AND(Annexes!F7&gt;1,Annexes!F7&lt;=Annexes!H8)),"- Chiffre d'affaires de la création au 31/10/2020 :","Case réservée aux activités mentionnées en annexe 2 (S1 bis) ou 3"),"")</f>
        <v/>
      </c>
      <c r="F192" s="481"/>
      <c r="G192" s="481"/>
      <c r="H192" s="481"/>
      <c r="I192" s="481"/>
      <c r="J192" s="481"/>
      <c r="K192" s="44"/>
      <c r="L192" s="44"/>
      <c r="M192" s="114">
        <v>0</v>
      </c>
      <c r="N192" s="109"/>
      <c r="O192" s="1"/>
      <c r="P192" s="1"/>
      <c r="Q192" s="68"/>
      <c r="R192" s="1"/>
      <c r="S192" s="397"/>
      <c r="T192" s="398"/>
      <c r="U192" s="398"/>
      <c r="V192" s="398"/>
      <c r="W192" s="399"/>
    </row>
    <row r="193" spans="2:23">
      <c r="B193" s="1"/>
      <c r="C193" s="184"/>
      <c r="D193" s="1"/>
      <c r="E193" s="478" t="str">
        <f>IF(AND(K8&gt;=Annexes!Q14,K8&lt;=Annexes!Q27),IF(OR(Annexes!M17=TRUE,AND(Annexes!F7&gt;1,Annexes!F7&lt;=Annexes!H8)),"Au lieu du 30/11/2020, depuis le décret 2021-79 du 28 Janvier 2021",""),"")</f>
        <v/>
      </c>
      <c r="F193" s="478"/>
      <c r="G193" s="478"/>
      <c r="H193" s="478"/>
      <c r="I193" s="478"/>
      <c r="J193" s="478"/>
      <c r="K193" s="478"/>
      <c r="L193" s="44"/>
      <c r="M193" s="44"/>
      <c r="N193" s="1"/>
      <c r="O193" s="1"/>
      <c r="P193" s="1"/>
      <c r="Q193" s="68"/>
      <c r="R193" s="1"/>
      <c r="S193" s="397"/>
      <c r="T193" s="398"/>
      <c r="U193" s="398"/>
      <c r="V193" s="398"/>
      <c r="W193" s="399"/>
    </row>
    <row r="194" spans="2:23">
      <c r="B194" s="1"/>
      <c r="C194" s="184"/>
      <c r="D194" s="1"/>
      <c r="E194" s="44"/>
      <c r="F194" s="479" t="str">
        <f>IF(AND(K8&gt;=Annexes!Q14,K8&lt;=Annexes!Q26),IF(OR(Annexes!M17=TRUE,AND(Annexes!F7&gt;1,Annexes!F7&lt;=Annexes!H8)),"CA moyen sur un mois :",""),"")</f>
        <v/>
      </c>
      <c r="G194" s="479"/>
      <c r="H194" s="479"/>
      <c r="I194" s="51" t="str">
        <f>IFERROR(IF(AND(K8&gt;=Annexes!Q14,K8&lt;=Annexes!Q26),IF(OR(Annexes!M17=TRUE,AND(Annexes!F7&gt;1,Annexes!F7&lt;=Annexes!H8)),M192*360/(Annexes!Q26-K8+1)/12,""),""),0)</f>
        <v/>
      </c>
      <c r="J194" s="44"/>
      <c r="K194" s="44"/>
      <c r="L194" s="44"/>
      <c r="M194" s="44"/>
      <c r="N194" s="1"/>
      <c r="O194" s="1"/>
      <c r="P194" s="1"/>
      <c r="Q194" s="68"/>
      <c r="R194" s="1"/>
      <c r="S194" s="397"/>
      <c r="T194" s="398"/>
      <c r="U194" s="398"/>
      <c r="V194" s="398"/>
      <c r="W194" s="399"/>
    </row>
    <row r="195" spans="2:23">
      <c r="B195" s="1"/>
      <c r="C195" s="184"/>
      <c r="D195" s="1"/>
      <c r="E195" s="55" t="str">
        <f>IF(AND(K8&gt;=Annexes!Q25,K8&lt;=Annexes!Q26),IF(OR(Annexes!M17=TRUE,AND(Annexes!F7&gt;1,Annexes!F7&lt;=Annexes!H8)),"Pour les créations après le 1er Octobre, merci de bien compléter le CA de Décembre 2020",""),"")</f>
        <v/>
      </c>
      <c r="F195" s="1"/>
      <c r="G195" s="1"/>
      <c r="H195" s="1"/>
      <c r="I195" s="1"/>
      <c r="J195" s="1"/>
      <c r="K195" s="1"/>
      <c r="L195" s="1"/>
      <c r="M195" s="1"/>
      <c r="N195" s="1"/>
      <c r="O195" s="1"/>
      <c r="P195" s="1"/>
      <c r="Q195" s="68"/>
      <c r="R195" s="1"/>
      <c r="S195" s="397"/>
      <c r="T195" s="398"/>
      <c r="U195" s="398"/>
      <c r="V195" s="398"/>
      <c r="W195" s="399"/>
    </row>
    <row r="196" spans="2:23">
      <c r="B196" s="1"/>
      <c r="C196" s="66"/>
      <c r="D196" s="78"/>
      <c r="E196" s="78"/>
      <c r="F196" s="78"/>
      <c r="G196" s="78"/>
      <c r="H196" s="78"/>
      <c r="I196" s="78"/>
      <c r="J196" s="78"/>
      <c r="K196" s="78"/>
      <c r="L196" s="78"/>
      <c r="M196" s="78"/>
      <c r="N196" s="78"/>
      <c r="O196" s="78"/>
      <c r="P196" s="78"/>
      <c r="Q196" s="75"/>
      <c r="R196" s="1"/>
      <c r="S196" s="484"/>
      <c r="T196" s="485"/>
      <c r="U196" s="485"/>
      <c r="V196" s="485"/>
      <c r="W196" s="486"/>
    </row>
    <row r="197" spans="2:23">
      <c r="B197" s="1"/>
      <c r="C197" s="1"/>
      <c r="D197" s="1"/>
      <c r="E197" s="1"/>
      <c r="F197" s="1"/>
      <c r="G197" s="1"/>
      <c r="H197" s="1"/>
      <c r="I197" s="1"/>
      <c r="J197" s="1"/>
      <c r="K197" s="1"/>
      <c r="L197" s="1"/>
      <c r="M197" s="1"/>
      <c r="N197" s="1"/>
      <c r="O197" s="1"/>
      <c r="P197" s="1"/>
      <c r="Q197" s="1"/>
      <c r="R197" s="1"/>
    </row>
    <row r="198" spans="2:23">
      <c r="B198" s="1"/>
      <c r="C198" s="1"/>
      <c r="D198" s="1"/>
      <c r="E198" s="1"/>
      <c r="F198" s="1"/>
      <c r="G198" s="1"/>
      <c r="H198" s="1"/>
      <c r="I198" s="1"/>
      <c r="J198" s="1"/>
      <c r="K198" s="1"/>
      <c r="L198" s="1"/>
      <c r="M198" s="1"/>
      <c r="N198" s="1"/>
      <c r="O198" s="1"/>
      <c r="P198" s="1"/>
      <c r="Q198" s="1"/>
      <c r="R198" s="1"/>
    </row>
    <row r="199" spans="2:23">
      <c r="B199" s="1"/>
      <c r="C199" s="1"/>
      <c r="D199" s="1"/>
      <c r="E199" s="1"/>
      <c r="F199" s="1"/>
      <c r="G199" s="1"/>
      <c r="H199" s="1"/>
      <c r="I199" s="1"/>
      <c r="J199" s="1"/>
      <c r="K199" s="1"/>
      <c r="L199" s="1"/>
      <c r="M199" s="1"/>
      <c r="N199" s="1"/>
      <c r="O199" s="1"/>
      <c r="P199" s="1"/>
      <c r="Q199" s="1"/>
      <c r="R199" s="1"/>
    </row>
    <row r="200" spans="2:23">
      <c r="B200" s="1"/>
      <c r="C200" s="1"/>
      <c r="D200" s="1"/>
      <c r="E200" s="1"/>
      <c r="F200" s="1"/>
      <c r="G200" s="1"/>
      <c r="H200" s="1"/>
      <c r="I200" s="1"/>
      <c r="J200" s="1"/>
      <c r="K200" s="1"/>
      <c r="L200" s="1"/>
      <c r="M200" s="1"/>
      <c r="N200" s="1"/>
      <c r="O200" s="1"/>
      <c r="P200" s="1"/>
      <c r="Q200" s="1"/>
      <c r="R200" s="1"/>
    </row>
    <row r="201" spans="2:23">
      <c r="B201" s="1"/>
      <c r="C201" s="1"/>
      <c r="D201" s="1"/>
      <c r="E201" s="1"/>
      <c r="F201" s="1"/>
      <c r="G201" s="1"/>
      <c r="H201" s="1"/>
      <c r="I201" s="1"/>
      <c r="J201" s="1"/>
      <c r="K201" s="1"/>
      <c r="L201" s="1"/>
      <c r="M201" s="1"/>
      <c r="N201" s="1"/>
      <c r="O201" s="1"/>
      <c r="P201" s="1"/>
      <c r="Q201" s="1"/>
      <c r="R201" s="1"/>
    </row>
    <row r="202" spans="2:23">
      <c r="B202" s="1"/>
      <c r="C202" s="1"/>
      <c r="D202" s="1"/>
      <c r="E202" s="1"/>
      <c r="F202" s="1"/>
      <c r="G202" s="1"/>
      <c r="H202" s="1"/>
      <c r="I202" s="1"/>
      <c r="J202" s="1"/>
      <c r="K202" s="1"/>
      <c r="L202" s="1"/>
      <c r="M202" s="1"/>
      <c r="N202" s="1"/>
      <c r="O202" s="1"/>
      <c r="P202" s="1"/>
      <c r="Q202" s="1"/>
      <c r="R202" s="1"/>
    </row>
    <row r="203" spans="2:23">
      <c r="B203" s="1"/>
      <c r="C203" s="1"/>
      <c r="D203" s="1"/>
      <c r="E203" s="1"/>
      <c r="F203" s="1"/>
      <c r="G203" s="1"/>
      <c r="H203" s="1"/>
      <c r="I203" s="1"/>
      <c r="J203" s="1"/>
      <c r="K203" s="1"/>
      <c r="L203" s="1"/>
      <c r="M203" s="1"/>
      <c r="N203" s="1"/>
      <c r="O203" s="1"/>
      <c r="P203" s="1"/>
      <c r="Q203" s="1"/>
      <c r="R203" s="1"/>
    </row>
    <row r="204" spans="2:23">
      <c r="B204" s="1"/>
      <c r="C204" s="1"/>
      <c r="D204" s="1"/>
      <c r="E204" s="1"/>
      <c r="F204" s="1"/>
      <c r="G204" s="1"/>
      <c r="H204" s="1"/>
      <c r="I204" s="1"/>
      <c r="J204" s="1"/>
      <c r="K204" s="1"/>
      <c r="L204" s="1"/>
      <c r="M204" s="1"/>
      <c r="N204" s="1"/>
      <c r="O204" s="1"/>
      <c r="P204" s="1"/>
      <c r="Q204" s="1"/>
      <c r="R204" s="1"/>
    </row>
    <row r="205" spans="2:23">
      <c r="B205" s="1"/>
      <c r="C205" s="1"/>
      <c r="D205" s="1"/>
      <c r="E205" s="1"/>
      <c r="F205" s="1"/>
      <c r="G205" s="1"/>
      <c r="H205" s="1"/>
      <c r="I205" s="1"/>
      <c r="J205" s="1"/>
      <c r="K205" s="1"/>
      <c r="L205" s="1"/>
      <c r="M205" s="1"/>
      <c r="N205" s="1"/>
      <c r="O205" s="1"/>
      <c r="P205" s="1"/>
      <c r="Q205" s="1"/>
      <c r="R205" s="1"/>
    </row>
    <row r="206" spans="2:23">
      <c r="B206" s="1"/>
      <c r="C206" s="1"/>
      <c r="D206" s="1"/>
      <c r="E206" s="1"/>
      <c r="F206" s="1"/>
      <c r="G206" s="1"/>
      <c r="H206" s="1"/>
      <c r="I206" s="1"/>
      <c r="J206" s="1"/>
      <c r="K206" s="1"/>
      <c r="L206" s="1"/>
      <c r="M206" s="1"/>
      <c r="N206" s="1"/>
      <c r="O206" s="1"/>
      <c r="P206" s="1"/>
      <c r="Q206" s="1"/>
      <c r="R206" s="1"/>
    </row>
    <row r="207" spans="2:23">
      <c r="B207" s="8"/>
      <c r="C207" s="1"/>
      <c r="D207" s="1"/>
      <c r="E207" s="1"/>
      <c r="F207" s="1"/>
      <c r="G207" s="1"/>
      <c r="H207" s="1"/>
      <c r="I207" s="1"/>
      <c r="J207" s="1"/>
      <c r="K207" s="1"/>
      <c r="L207" s="1"/>
      <c r="M207" s="1"/>
      <c r="N207" s="1"/>
      <c r="O207" s="1"/>
      <c r="P207" s="1"/>
      <c r="Q207" s="1"/>
      <c r="R207" s="1"/>
      <c r="S207" s="1"/>
      <c r="T207" s="1"/>
      <c r="U207" s="1"/>
    </row>
    <row r="208" spans="2:23">
      <c r="B208" s="1"/>
      <c r="C208" s="8"/>
      <c r="D208" s="8"/>
      <c r="E208" s="1"/>
      <c r="F208" s="1"/>
      <c r="G208" s="1"/>
      <c r="H208" s="1"/>
      <c r="I208" s="1"/>
      <c r="J208" s="1"/>
      <c r="K208" s="1"/>
      <c r="L208" s="1"/>
      <c r="M208" s="1"/>
      <c r="N208" s="1"/>
      <c r="O208" s="1"/>
      <c r="P208" s="1"/>
      <c r="Q208" s="1"/>
      <c r="R208" s="1"/>
      <c r="S208" s="1"/>
      <c r="T208" s="1"/>
      <c r="U208" s="1"/>
    </row>
    <row r="209" spans="2:21">
      <c r="B209" s="1"/>
      <c r="C209" s="1"/>
      <c r="D209" s="1"/>
      <c r="E209" s="1"/>
      <c r="F209" s="1"/>
      <c r="G209" s="1"/>
      <c r="H209" s="1"/>
      <c r="I209" s="1"/>
      <c r="J209" s="1"/>
      <c r="K209" s="1"/>
      <c r="L209" s="1"/>
      <c r="M209" s="1"/>
      <c r="N209" s="1"/>
      <c r="O209" s="1"/>
      <c r="P209" s="1"/>
      <c r="Q209" s="1"/>
      <c r="R209" s="1"/>
      <c r="S209" s="1"/>
      <c r="T209" s="1"/>
      <c r="U209" s="1"/>
    </row>
    <row r="210" spans="2:21">
      <c r="B210" s="1"/>
      <c r="C210" s="1"/>
      <c r="D210" s="1"/>
      <c r="E210" s="1"/>
      <c r="F210" s="1"/>
      <c r="G210" s="1"/>
      <c r="H210" s="1"/>
      <c r="I210" s="1"/>
      <c r="J210" s="1"/>
      <c r="K210" s="1"/>
      <c r="L210" s="1"/>
      <c r="M210" s="1"/>
      <c r="N210" s="1"/>
      <c r="O210" s="1"/>
      <c r="P210" s="1"/>
      <c r="Q210" s="1"/>
      <c r="R210" s="1"/>
      <c r="S210" s="1"/>
      <c r="T210" s="1"/>
      <c r="U210" s="1"/>
    </row>
    <row r="211" spans="2:21">
      <c r="B211" s="1"/>
      <c r="C211" s="1"/>
      <c r="D211" s="1"/>
      <c r="E211" s="1"/>
      <c r="F211" s="1"/>
      <c r="G211" s="1"/>
      <c r="H211" s="1"/>
      <c r="I211" s="1"/>
      <c r="J211" s="1"/>
      <c r="K211" s="1"/>
      <c r="L211" s="1"/>
      <c r="M211" s="1"/>
      <c r="N211" s="1"/>
      <c r="O211" s="1"/>
      <c r="P211" s="1"/>
      <c r="Q211" s="1"/>
      <c r="R211" s="1"/>
      <c r="S211" s="1"/>
      <c r="T211" s="1"/>
      <c r="U211" s="1"/>
    </row>
    <row r="212" spans="2:21">
      <c r="B212" s="1"/>
      <c r="C212" s="1"/>
      <c r="D212" s="1"/>
      <c r="E212" s="1"/>
      <c r="F212" s="1"/>
      <c r="G212" s="1"/>
      <c r="H212" s="1"/>
      <c r="I212" s="1"/>
      <c r="J212" s="1"/>
      <c r="K212" s="1"/>
      <c r="L212" s="1"/>
      <c r="M212" s="1"/>
      <c r="N212" s="1"/>
      <c r="O212" s="1"/>
      <c r="P212" s="1"/>
      <c r="Q212" s="1"/>
      <c r="R212" s="1"/>
      <c r="S212" s="1"/>
      <c r="T212" s="1"/>
      <c r="U212" s="1"/>
    </row>
    <row r="213" spans="2:21">
      <c r="B213" s="1"/>
      <c r="C213" s="1"/>
      <c r="D213" s="1"/>
      <c r="E213" s="1"/>
      <c r="F213" s="1"/>
      <c r="G213" s="1"/>
      <c r="H213" s="1"/>
      <c r="I213" s="1"/>
      <c r="J213" s="1"/>
      <c r="K213" s="1"/>
      <c r="L213" s="1"/>
      <c r="M213" s="1"/>
      <c r="N213" s="1"/>
      <c r="O213" s="1"/>
      <c r="P213" s="1"/>
      <c r="Q213" s="1"/>
      <c r="R213" s="1"/>
      <c r="S213" s="1"/>
      <c r="T213" s="1"/>
      <c r="U213" s="1"/>
    </row>
    <row r="214" spans="2:21">
      <c r="B214" s="1"/>
      <c r="C214" s="1"/>
      <c r="D214" s="1"/>
      <c r="E214" s="1"/>
      <c r="F214" s="1"/>
      <c r="G214" s="1"/>
      <c r="H214" s="1"/>
      <c r="I214" s="1"/>
      <c r="J214" s="1"/>
      <c r="K214" s="1"/>
      <c r="L214" s="1"/>
      <c r="M214" s="1"/>
      <c r="N214" s="1"/>
      <c r="O214" s="1"/>
      <c r="P214" s="1"/>
      <c r="Q214" s="1"/>
      <c r="R214" s="1"/>
      <c r="S214" s="1"/>
      <c r="T214" s="1"/>
      <c r="U214" s="1"/>
    </row>
    <row r="215" spans="2:21">
      <c r="B215" s="1"/>
      <c r="C215" s="1"/>
      <c r="D215" s="1"/>
      <c r="E215" s="1"/>
      <c r="F215" s="1"/>
      <c r="G215" s="1"/>
      <c r="H215" s="1"/>
      <c r="I215" s="1"/>
      <c r="J215" s="1"/>
      <c r="K215" s="1"/>
      <c r="L215" s="1"/>
      <c r="M215" s="1"/>
      <c r="N215" s="1"/>
      <c r="O215" s="1"/>
      <c r="P215" s="1"/>
      <c r="Q215" s="1"/>
      <c r="R215" s="1"/>
      <c r="S215" s="1"/>
      <c r="T215" s="1"/>
      <c r="U215" s="1"/>
    </row>
    <row r="216" spans="2:21">
      <c r="B216" s="1"/>
      <c r="C216" s="1"/>
      <c r="D216" s="1"/>
      <c r="E216" s="1"/>
      <c r="F216" s="1"/>
      <c r="G216" s="1"/>
      <c r="H216" s="1"/>
      <c r="I216" s="1"/>
      <c r="J216" s="1"/>
      <c r="K216" s="1"/>
      <c r="L216" s="1"/>
      <c r="M216" s="1"/>
      <c r="N216" s="1"/>
      <c r="O216" s="1"/>
      <c r="P216" s="1"/>
      <c r="Q216" s="1"/>
      <c r="R216" s="1"/>
      <c r="S216" s="1"/>
      <c r="T216" s="1"/>
      <c r="U216" s="1"/>
    </row>
    <row r="217" spans="2:21">
      <c r="B217" s="1"/>
      <c r="C217" s="1"/>
      <c r="D217" s="1"/>
      <c r="E217" s="1"/>
      <c r="F217" s="1"/>
      <c r="G217" s="1"/>
      <c r="H217" s="1"/>
      <c r="I217" s="1"/>
      <c r="J217" s="1"/>
      <c r="K217" s="1"/>
      <c r="L217" s="1"/>
      <c r="M217" s="1"/>
      <c r="N217" s="1"/>
      <c r="O217" s="1"/>
      <c r="P217" s="1"/>
      <c r="Q217" s="1"/>
      <c r="R217" s="1"/>
      <c r="S217" s="1"/>
      <c r="T217" s="1"/>
      <c r="U217" s="1"/>
    </row>
    <row r="218" spans="2:21">
      <c r="B218" s="1"/>
      <c r="C218" s="1"/>
      <c r="D218" s="1"/>
      <c r="E218" s="1"/>
      <c r="F218" s="1"/>
      <c r="G218" s="1"/>
      <c r="H218" s="1"/>
      <c r="I218" s="1"/>
      <c r="J218" s="1"/>
      <c r="K218" s="1"/>
      <c r="L218" s="1"/>
      <c r="M218" s="1"/>
      <c r="N218" s="1"/>
      <c r="O218" s="1"/>
      <c r="P218" s="1"/>
      <c r="Q218" s="1"/>
      <c r="R218" s="1"/>
      <c r="S218" s="1"/>
      <c r="T218" s="1"/>
      <c r="U218" s="1"/>
    </row>
    <row r="219" spans="2:21">
      <c r="B219" s="1"/>
      <c r="C219" s="1"/>
      <c r="D219" s="1"/>
      <c r="E219" s="1"/>
      <c r="F219" s="1"/>
      <c r="G219" s="1"/>
      <c r="H219" s="1"/>
      <c r="I219" s="1"/>
      <c r="J219" s="1"/>
      <c r="K219" s="1"/>
      <c r="L219" s="1"/>
      <c r="M219" s="1"/>
      <c r="N219" s="1"/>
      <c r="O219" s="1"/>
      <c r="P219" s="1"/>
      <c r="Q219" s="1"/>
      <c r="R219" s="1"/>
      <c r="S219" s="1"/>
      <c r="T219" s="1"/>
      <c r="U219" s="1"/>
    </row>
    <row r="220" spans="2:21">
      <c r="B220" s="1"/>
      <c r="C220" s="1"/>
      <c r="D220" s="1"/>
      <c r="E220" s="1"/>
      <c r="F220" s="1"/>
      <c r="G220" s="1"/>
      <c r="H220" s="1"/>
      <c r="I220" s="1"/>
      <c r="J220" s="1"/>
      <c r="K220" s="1"/>
      <c r="L220" s="1"/>
      <c r="M220" s="1"/>
      <c r="N220" s="1"/>
      <c r="O220" s="1"/>
      <c r="P220" s="1"/>
      <c r="Q220" s="1"/>
      <c r="R220" s="1"/>
      <c r="S220" s="1"/>
      <c r="T220" s="1"/>
      <c r="U220" s="1"/>
    </row>
    <row r="221" spans="2:21">
      <c r="B221" s="1"/>
      <c r="C221" s="1"/>
      <c r="D221" s="1"/>
      <c r="E221" s="1"/>
      <c r="F221" s="1"/>
      <c r="G221" s="1"/>
      <c r="H221" s="1"/>
      <c r="I221" s="1"/>
      <c r="J221" s="1"/>
      <c r="K221" s="1"/>
      <c r="L221" s="1"/>
      <c r="M221" s="1"/>
      <c r="N221" s="1"/>
      <c r="O221" s="1"/>
      <c r="P221" s="1"/>
      <c r="Q221" s="1"/>
      <c r="R221" s="1"/>
      <c r="S221" s="1"/>
      <c r="T221" s="1"/>
      <c r="U221" s="1"/>
    </row>
    <row r="222" spans="2:21">
      <c r="C222" s="1"/>
      <c r="D222" s="1"/>
      <c r="E222" s="1"/>
      <c r="F222" s="1"/>
      <c r="G222" s="1"/>
      <c r="H222" s="1"/>
      <c r="I222" s="1"/>
      <c r="J222" s="1"/>
      <c r="K222" s="1"/>
      <c r="L222" s="1"/>
      <c r="M222" s="1"/>
      <c r="N222" s="1"/>
      <c r="O222" s="1"/>
      <c r="P222" s="1"/>
      <c r="Q222" s="1"/>
      <c r="R222" s="1"/>
      <c r="S222" s="1"/>
      <c r="T222" s="1"/>
      <c r="U222" s="1"/>
    </row>
    <row r="223" spans="2:21">
      <c r="E223" s="1"/>
      <c r="F223" s="1"/>
      <c r="G223" s="1"/>
      <c r="H223" s="1"/>
      <c r="I223" s="1"/>
      <c r="J223" s="1"/>
      <c r="K223" s="1"/>
      <c r="L223" s="1"/>
      <c r="M223" s="1"/>
      <c r="N223" s="1"/>
      <c r="O223" s="1"/>
      <c r="R223" s="1"/>
      <c r="S223" s="1"/>
      <c r="T223" s="1"/>
      <c r="U223" s="1"/>
    </row>
    <row r="224" spans="2:21">
      <c r="E224" s="1"/>
      <c r="F224" s="1"/>
      <c r="G224" s="1"/>
      <c r="H224" s="1"/>
      <c r="I224" s="1"/>
      <c r="J224" s="1"/>
      <c r="K224" s="1"/>
      <c r="L224" s="1"/>
      <c r="M224" s="1"/>
      <c r="N224" s="1"/>
      <c r="O224" s="1"/>
      <c r="R224" s="1"/>
      <c r="S224" s="1"/>
      <c r="T224" s="1"/>
      <c r="U224" s="1"/>
    </row>
    <row r="225" spans="5:22">
      <c r="E225" s="1"/>
      <c r="F225" s="1"/>
      <c r="G225" s="1"/>
      <c r="H225" s="1"/>
      <c r="I225" s="1"/>
      <c r="J225" s="1"/>
      <c r="K225" s="1"/>
      <c r="L225" s="1"/>
      <c r="M225" s="1"/>
      <c r="N225" s="1"/>
      <c r="O225" s="1"/>
      <c r="R225" s="1"/>
      <c r="S225" s="1"/>
      <c r="T225" s="1"/>
      <c r="U225" s="1"/>
    </row>
    <row r="226" spans="5:22">
      <c r="E226" s="1"/>
      <c r="F226" s="1"/>
      <c r="G226" s="1"/>
      <c r="H226" s="1"/>
      <c r="I226" s="1"/>
      <c r="J226" s="1"/>
      <c r="K226" s="1"/>
      <c r="L226" s="1"/>
      <c r="M226" s="1"/>
      <c r="N226" s="1"/>
      <c r="O226" s="1"/>
      <c r="R226" s="1"/>
      <c r="S226" s="1"/>
      <c r="T226" s="1"/>
      <c r="U226" s="1"/>
    </row>
    <row r="227" spans="5:22">
      <c r="O227" s="1"/>
      <c r="R227" s="1"/>
      <c r="S227" s="1"/>
      <c r="T227" s="1"/>
      <c r="U227" s="1"/>
    </row>
    <row r="228" spans="5:22">
      <c r="O228" s="1"/>
      <c r="R228" s="1"/>
      <c r="S228" s="1"/>
      <c r="T228" s="1"/>
      <c r="U228" s="1"/>
      <c r="V228" s="1"/>
    </row>
    <row r="229" spans="5:22">
      <c r="O229" s="1"/>
      <c r="R229" s="1"/>
      <c r="S229" s="1"/>
      <c r="T229" s="1"/>
      <c r="U229" s="1"/>
    </row>
    <row r="230" spans="5:22">
      <c r="S230" s="1"/>
      <c r="T230" s="1"/>
      <c r="U230" s="1"/>
    </row>
    <row r="231" spans="5:22">
      <c r="S231" s="1"/>
      <c r="T231" s="1"/>
      <c r="U231" s="1"/>
    </row>
    <row r="232" spans="5:22">
      <c r="S232" s="1"/>
      <c r="T232" s="1"/>
      <c r="U232" s="1"/>
    </row>
    <row r="233" spans="5:22">
      <c r="S233" s="1"/>
      <c r="T233" s="1"/>
      <c r="U233" s="1"/>
    </row>
    <row r="234" spans="5:22">
      <c r="S234" s="1"/>
      <c r="T234" s="1"/>
      <c r="U234" s="1"/>
    </row>
    <row r="235" spans="5:22">
      <c r="S235" s="1"/>
      <c r="T235" s="1"/>
      <c r="U235" s="1"/>
    </row>
    <row r="236" spans="5:22">
      <c r="S236" s="1"/>
      <c r="T236" s="1"/>
      <c r="U236" s="1"/>
    </row>
    <row r="237" spans="5:22">
      <c r="S237" t="s">
        <v>7</v>
      </c>
    </row>
    <row r="238" spans="5:22">
      <c r="S238" t="s">
        <v>7</v>
      </c>
    </row>
  </sheetData>
  <sheetProtection password="C6BD" sheet="1" objects="1" scenarios="1"/>
  <mergeCells count="209">
    <mergeCell ref="S156:W156"/>
    <mergeCell ref="S155:W155"/>
    <mergeCell ref="S159:W159"/>
    <mergeCell ref="S158:W158"/>
    <mergeCell ref="E80:P81"/>
    <mergeCell ref="E86:P87"/>
    <mergeCell ref="E84:P85"/>
    <mergeCell ref="E82:P83"/>
    <mergeCell ref="E78:P79"/>
    <mergeCell ref="S168:W168"/>
    <mergeCell ref="S172:W172"/>
    <mergeCell ref="S171:W171"/>
    <mergeCell ref="S170:W170"/>
    <mergeCell ref="S166:W166"/>
    <mergeCell ref="S165:W165"/>
    <mergeCell ref="S164:W164"/>
    <mergeCell ref="S129:W129"/>
    <mergeCell ref="S124:W124"/>
    <mergeCell ref="S142:W142"/>
    <mergeCell ref="S125:W125"/>
    <mergeCell ref="S127:W127"/>
    <mergeCell ref="S126:W126"/>
    <mergeCell ref="S147:W147"/>
    <mergeCell ref="S131:W131"/>
    <mergeCell ref="S130:W130"/>
    <mergeCell ref="S157:W157"/>
    <mergeCell ref="E183:L183"/>
    <mergeCell ref="S196:W196"/>
    <mergeCell ref="S194:W194"/>
    <mergeCell ref="S184:W184"/>
    <mergeCell ref="S183:W183"/>
    <mergeCell ref="S182:W182"/>
    <mergeCell ref="S181:W181"/>
    <mergeCell ref="S180:W180"/>
    <mergeCell ref="S169:W169"/>
    <mergeCell ref="F176:H176"/>
    <mergeCell ref="E172:J172"/>
    <mergeCell ref="E192:J192"/>
    <mergeCell ref="F194:H194"/>
    <mergeCell ref="E181:G181"/>
    <mergeCell ref="S195:W195"/>
    <mergeCell ref="E28:Q29"/>
    <mergeCell ref="E193:K193"/>
    <mergeCell ref="E19:O19"/>
    <mergeCell ref="T13:U15"/>
    <mergeCell ref="S187:W187"/>
    <mergeCell ref="S188:W188"/>
    <mergeCell ref="S189:W189"/>
    <mergeCell ref="S190:W190"/>
    <mergeCell ref="S191:W191"/>
    <mergeCell ref="S192:W192"/>
    <mergeCell ref="S193:W193"/>
    <mergeCell ref="F169:H169"/>
    <mergeCell ref="F190:H190"/>
    <mergeCell ref="E173:J173"/>
    <mergeCell ref="E174:J174"/>
    <mergeCell ref="F178:H178"/>
    <mergeCell ref="E96:G96"/>
    <mergeCell ref="L104:O104"/>
    <mergeCell ref="H104:J104"/>
    <mergeCell ref="E188:J188"/>
    <mergeCell ref="E26:Q26"/>
    <mergeCell ref="E27:P27"/>
    <mergeCell ref="E182:M182"/>
    <mergeCell ref="F185:H185"/>
    <mergeCell ref="E45:P45"/>
    <mergeCell ref="S167:W167"/>
    <mergeCell ref="S2:V3"/>
    <mergeCell ref="E47:J47"/>
    <mergeCell ref="H2:J4"/>
    <mergeCell ref="K2:P4"/>
    <mergeCell ref="H8:J8"/>
    <mergeCell ref="K8:L8"/>
    <mergeCell ref="H6:J6"/>
    <mergeCell ref="K6:P6"/>
    <mergeCell ref="E31:K31"/>
    <mergeCell ref="E18:O18"/>
    <mergeCell ref="E22:O22"/>
    <mergeCell ref="B10:F11"/>
    <mergeCell ref="E34:J34"/>
    <mergeCell ref="M8:P8"/>
    <mergeCell ref="G11:L11"/>
    <mergeCell ref="T23:U26"/>
    <mergeCell ref="G10:L10"/>
    <mergeCell ref="T5:U6"/>
    <mergeCell ref="T16:U18"/>
    <mergeCell ref="T11:U12"/>
    <mergeCell ref="S9:V10"/>
    <mergeCell ref="D21:O21"/>
    <mergeCell ref="S92:W92"/>
    <mergeCell ref="B15:G15"/>
    <mergeCell ref="S114:W114"/>
    <mergeCell ref="S113:W113"/>
    <mergeCell ref="S112:W112"/>
    <mergeCell ref="S111:W111"/>
    <mergeCell ref="F177:H177"/>
    <mergeCell ref="F98:H98"/>
    <mergeCell ref="E48:P48"/>
    <mergeCell ref="E50:P50"/>
    <mergeCell ref="B17:G17"/>
    <mergeCell ref="T19:U22"/>
    <mergeCell ref="E24:Q24"/>
    <mergeCell ref="E25:P25"/>
    <mergeCell ref="E20:O20"/>
    <mergeCell ref="E32:P33"/>
    <mergeCell ref="E52:J52"/>
    <mergeCell ref="S94:W94"/>
    <mergeCell ref="S93:W93"/>
    <mergeCell ref="S101:W101"/>
    <mergeCell ref="S91:W91"/>
    <mergeCell ref="K102:P103"/>
    <mergeCell ref="E74:K74"/>
    <mergeCell ref="E76:P77"/>
    <mergeCell ref="S150:W150"/>
    <mergeCell ref="S122:W122"/>
    <mergeCell ref="S185:W185"/>
    <mergeCell ref="S186:W186"/>
    <mergeCell ref="S179:W179"/>
    <mergeCell ref="S178:W178"/>
    <mergeCell ref="S177:W177"/>
    <mergeCell ref="S176:W176"/>
    <mergeCell ref="S175:W175"/>
    <mergeCell ref="S174:W174"/>
    <mergeCell ref="S173:W173"/>
    <mergeCell ref="S151:W151"/>
    <mergeCell ref="S140:W140"/>
    <mergeCell ref="S139:W139"/>
    <mergeCell ref="S138:W138"/>
    <mergeCell ref="S137:W137"/>
    <mergeCell ref="S136:W136"/>
    <mergeCell ref="S154:W154"/>
    <mergeCell ref="S153:W153"/>
    <mergeCell ref="S152:W152"/>
    <mergeCell ref="S163:W163"/>
    <mergeCell ref="S162:W162"/>
    <mergeCell ref="S161:W161"/>
    <mergeCell ref="S160:W160"/>
    <mergeCell ref="E107:J107"/>
    <mergeCell ref="F162:H162"/>
    <mergeCell ref="E151:J151"/>
    <mergeCell ref="E152:J152"/>
    <mergeCell ref="E159:J159"/>
    <mergeCell ref="F155:H155"/>
    <mergeCell ref="E90:F90"/>
    <mergeCell ref="E49:J49"/>
    <mergeCell ref="L94:O94"/>
    <mergeCell ref="E114:F114"/>
    <mergeCell ref="E118:G118"/>
    <mergeCell ref="E102:J102"/>
    <mergeCell ref="E112:F112"/>
    <mergeCell ref="E119:G119"/>
    <mergeCell ref="E54:P55"/>
    <mergeCell ref="E56:P57"/>
    <mergeCell ref="E58:P59"/>
    <mergeCell ref="E68:P69"/>
    <mergeCell ref="E72:P73"/>
    <mergeCell ref="E62:P63"/>
    <mergeCell ref="E64:P65"/>
    <mergeCell ref="E66:P67"/>
    <mergeCell ref="E60:P61"/>
    <mergeCell ref="E70:P71"/>
    <mergeCell ref="S118:W118"/>
    <mergeCell ref="S117:W117"/>
    <mergeCell ref="E167:J167"/>
    <mergeCell ref="E166:J166"/>
    <mergeCell ref="E165:J165"/>
    <mergeCell ref="E160:J160"/>
    <mergeCell ref="E158:J158"/>
    <mergeCell ref="E142:N142"/>
    <mergeCell ref="E110:J110"/>
    <mergeCell ref="S121:W121"/>
    <mergeCell ref="S120:W120"/>
    <mergeCell ref="S119:W119"/>
    <mergeCell ref="S123:W123"/>
    <mergeCell ref="S148:W148"/>
    <mergeCell ref="S149:W149"/>
    <mergeCell ref="S135:W135"/>
    <mergeCell ref="S134:W134"/>
    <mergeCell ref="S133:W133"/>
    <mergeCell ref="S132:W132"/>
    <mergeCell ref="S128:W128"/>
    <mergeCell ref="E146:J146"/>
    <mergeCell ref="S146:W146"/>
    <mergeCell ref="L120:O120"/>
    <mergeCell ref="S141:W141"/>
    <mergeCell ref="S97:W97"/>
    <mergeCell ref="S96:W96"/>
    <mergeCell ref="S95:W95"/>
    <mergeCell ref="S109:W109"/>
    <mergeCell ref="E153:J153"/>
    <mergeCell ref="S107:W107"/>
    <mergeCell ref="S106:W106"/>
    <mergeCell ref="S105:W105"/>
    <mergeCell ref="S104:W104"/>
    <mergeCell ref="S103:W103"/>
    <mergeCell ref="S102:W102"/>
    <mergeCell ref="S100:W100"/>
    <mergeCell ref="S116:W116"/>
    <mergeCell ref="S115:W115"/>
    <mergeCell ref="S110:W110"/>
    <mergeCell ref="S99:W99"/>
    <mergeCell ref="S98:W98"/>
    <mergeCell ref="S143:W143"/>
    <mergeCell ref="E144:J144"/>
    <mergeCell ref="S144:W144"/>
    <mergeCell ref="E145:J145"/>
    <mergeCell ref="S145:W145"/>
    <mergeCell ref="S108:W108"/>
    <mergeCell ref="F148:H148"/>
  </mergeCells>
  <dataValidations count="1">
    <dataValidation type="list" allowBlank="1" showInputMessage="1" showErrorMessage="1" sqref="R31">
      <formula1>$R$32:$R$47</formula1>
    </dataValidation>
  </dataValidations>
  <hyperlinks>
    <hyperlink ref="B10:F11" r:id="rId1" display="Notice :"/>
    <hyperlink ref="T11:U12" r:id="rId2" display="- Notre FAQ sur le sujet (lien ici)"/>
    <hyperlink ref="T16:U18" r:id="rId3" display="- Le décret 2021-422 du 10/04/2021 (lien ici)"/>
    <hyperlink ref="T23:U26" r:id="rId4" display="- Notion de fermeture administrative définie au décret 2020-1310 du 29/10/2020 (lien ici)"/>
    <hyperlink ref="T13:U15" r:id="rId5" display="- Le décret 2020-371 MAJ 12/04/2021 (lien ici)"/>
    <hyperlink ref="T19:U22" r:id="rId6" display="- Notre résumé des décrets sur le fond de solidarité (lien ici)"/>
  </hyperlinks>
  <pageMargins left="0.7" right="0.7" top="0.75" bottom="0.75" header="0.3" footer="0.3"/>
  <pageSetup paperSize="9" orientation="portrait" horizontalDpi="1200" verticalDpi="1200" r:id="rId7"/>
  <drawing r:id="rId8"/>
  <legacyDrawing r:id="rId9"/>
  <mc:AlternateContent xmlns:mc="http://schemas.openxmlformats.org/markup-compatibility/2006">
    <mc:Choice Requires="x14">
      <controls>
        <mc:AlternateContent xmlns:mc="http://schemas.openxmlformats.org/markup-compatibility/2006">
          <mc:Choice Requires="x14">
            <control shapeId="2052" r:id="rId10" name="Drop Down 4">
              <controlPr defaultSize="0" autoLine="0" autoPict="0">
                <anchor moveWithCells="1">
                  <from>
                    <xdr:col>7</xdr:col>
                    <xdr:colOff>9525</xdr:colOff>
                    <xdr:row>14</xdr:row>
                    <xdr:rowOff>0</xdr:rowOff>
                  </from>
                  <to>
                    <xdr:col>15</xdr:col>
                    <xdr:colOff>666750</xdr:colOff>
                    <xdr:row>15</xdr:row>
                    <xdr:rowOff>0</xdr:rowOff>
                  </to>
                </anchor>
              </controlPr>
            </control>
          </mc:Choice>
        </mc:AlternateContent>
        <mc:AlternateContent xmlns:mc="http://schemas.openxmlformats.org/markup-compatibility/2006">
          <mc:Choice Requires="x14">
            <control shapeId="2053" r:id="rId11" name="Drop Down 5">
              <controlPr defaultSize="0" autoLine="0" autoPict="0">
                <anchor moveWithCells="1">
                  <from>
                    <xdr:col>7</xdr:col>
                    <xdr:colOff>9525</xdr:colOff>
                    <xdr:row>16</xdr:row>
                    <xdr:rowOff>0</xdr:rowOff>
                  </from>
                  <to>
                    <xdr:col>15</xdr:col>
                    <xdr:colOff>676275</xdr:colOff>
                    <xdr:row>17</xdr:row>
                    <xdr:rowOff>0</xdr:rowOff>
                  </to>
                </anchor>
              </controlPr>
            </control>
          </mc:Choice>
        </mc:AlternateContent>
        <mc:AlternateContent xmlns:mc="http://schemas.openxmlformats.org/markup-compatibility/2006">
          <mc:Choice Requires="x14">
            <control shapeId="2054" r:id="rId12" name="Check Box 6">
              <controlPr defaultSize="0" autoFill="0" autoLine="0" autoPict="0" altText="Interdiction d'accueil du public (du ... au ...)">
                <anchor moveWithCells="1">
                  <from>
                    <xdr:col>3</xdr:col>
                    <xdr:colOff>19050</xdr:colOff>
                    <xdr:row>33</xdr:row>
                    <xdr:rowOff>0</xdr:rowOff>
                  </from>
                  <to>
                    <xdr:col>9</xdr:col>
                    <xdr:colOff>542925</xdr:colOff>
                    <xdr:row>34</xdr:row>
                    <xdr:rowOff>0</xdr:rowOff>
                  </to>
                </anchor>
              </controlPr>
            </control>
          </mc:Choice>
        </mc:AlternateContent>
        <mc:AlternateContent xmlns:mc="http://schemas.openxmlformats.org/markup-compatibility/2006">
          <mc:Choice Requires="x14">
            <control shapeId="2055" r:id="rId13" name="Check Box 7">
              <controlPr defaultSize="0" autoFill="0" autoLine="0" autoPict="0">
                <anchor moveWithCells="1">
                  <from>
                    <xdr:col>3</xdr:col>
                    <xdr:colOff>19050</xdr:colOff>
                    <xdr:row>30</xdr:row>
                    <xdr:rowOff>9525</xdr:rowOff>
                  </from>
                  <to>
                    <xdr:col>9</xdr:col>
                    <xdr:colOff>542925</xdr:colOff>
                    <xdr:row>31</xdr:row>
                    <xdr:rowOff>0</xdr:rowOff>
                  </to>
                </anchor>
              </controlPr>
            </control>
          </mc:Choice>
        </mc:AlternateContent>
        <mc:AlternateContent xmlns:mc="http://schemas.openxmlformats.org/markup-compatibility/2006">
          <mc:Choice Requires="x14">
            <control shapeId="2056" r:id="rId14" name="Drop Down 8">
              <controlPr defaultSize="0" autoLine="0" autoPict="0">
                <anchor moveWithCells="1">
                  <from>
                    <xdr:col>12</xdr:col>
                    <xdr:colOff>361950</xdr:colOff>
                    <xdr:row>36</xdr:row>
                    <xdr:rowOff>180975</xdr:rowOff>
                  </from>
                  <to>
                    <xdr:col>12</xdr:col>
                    <xdr:colOff>800100</xdr:colOff>
                    <xdr:row>38</xdr:row>
                    <xdr:rowOff>9525</xdr:rowOff>
                  </to>
                </anchor>
              </controlPr>
            </control>
          </mc:Choice>
        </mc:AlternateContent>
        <mc:AlternateContent xmlns:mc="http://schemas.openxmlformats.org/markup-compatibility/2006">
          <mc:Choice Requires="x14">
            <control shapeId="2057" r:id="rId15" name="Drop Down 9">
              <controlPr defaultSize="0" autoLine="0" autoPict="0">
                <anchor moveWithCells="1">
                  <from>
                    <xdr:col>15</xdr:col>
                    <xdr:colOff>323850</xdr:colOff>
                    <xdr:row>37</xdr:row>
                    <xdr:rowOff>9525</xdr:rowOff>
                  </from>
                  <to>
                    <xdr:col>15</xdr:col>
                    <xdr:colOff>790575</xdr:colOff>
                    <xdr:row>38</xdr:row>
                    <xdr:rowOff>9525</xdr:rowOff>
                  </to>
                </anchor>
              </controlPr>
            </control>
          </mc:Choice>
        </mc:AlternateContent>
        <mc:AlternateContent xmlns:mc="http://schemas.openxmlformats.org/markup-compatibility/2006">
          <mc:Choice Requires="x14">
            <control shapeId="2058" r:id="rId16" name="Check Box 10">
              <controlPr defaultSize="0" autoFill="0" autoLine="0" autoPict="0" altText="Interdiction d'accueil du public (du ... au ...)">
                <anchor moveWithCells="1">
                  <from>
                    <xdr:col>3</xdr:col>
                    <xdr:colOff>19050</xdr:colOff>
                    <xdr:row>46</xdr:row>
                    <xdr:rowOff>9525</xdr:rowOff>
                  </from>
                  <to>
                    <xdr:col>9</xdr:col>
                    <xdr:colOff>571500</xdr:colOff>
                    <xdr:row>46</xdr:row>
                    <xdr:rowOff>180975</xdr:rowOff>
                  </to>
                </anchor>
              </controlPr>
            </control>
          </mc:Choice>
        </mc:AlternateContent>
        <mc:AlternateContent xmlns:mc="http://schemas.openxmlformats.org/markup-compatibility/2006">
          <mc:Choice Requires="x14">
            <control shapeId="2059" r:id="rId17" name="Check Box 11">
              <controlPr defaultSize="0" autoFill="0" autoLine="0" autoPict="0" altText="Interdiction d'accueil du public (du ... au ...)">
                <anchor moveWithCells="1">
                  <from>
                    <xdr:col>3</xdr:col>
                    <xdr:colOff>19050</xdr:colOff>
                    <xdr:row>48</xdr:row>
                    <xdr:rowOff>9525</xdr:rowOff>
                  </from>
                  <to>
                    <xdr:col>9</xdr:col>
                    <xdr:colOff>571500</xdr:colOff>
                    <xdr:row>48</xdr:row>
                    <xdr:rowOff>180975</xdr:rowOff>
                  </to>
                </anchor>
              </controlPr>
            </control>
          </mc:Choice>
        </mc:AlternateContent>
        <mc:AlternateContent xmlns:mc="http://schemas.openxmlformats.org/markup-compatibility/2006">
          <mc:Choice Requires="x14">
            <control shapeId="2061" r:id="rId18" name="Check Box 13">
              <controlPr defaultSize="0" autoFill="0" autoLine="0" autoPict="0">
                <anchor moveWithCells="1">
                  <from>
                    <xdr:col>3</xdr:col>
                    <xdr:colOff>19050</xdr:colOff>
                    <xdr:row>23</xdr:row>
                    <xdr:rowOff>9525</xdr:rowOff>
                  </from>
                  <to>
                    <xdr:col>10</xdr:col>
                    <xdr:colOff>47625</xdr:colOff>
                    <xdr:row>24</xdr:row>
                    <xdr:rowOff>9525</xdr:rowOff>
                  </to>
                </anchor>
              </controlPr>
            </control>
          </mc:Choice>
        </mc:AlternateContent>
        <mc:AlternateContent xmlns:mc="http://schemas.openxmlformats.org/markup-compatibility/2006">
          <mc:Choice Requires="x14">
            <control shapeId="2063" r:id="rId19" name="Check Box 15">
              <controlPr defaultSize="0" autoFill="0" autoLine="0" autoPict="0" altText="Interdiction d'accueil du public (du ... au ...)">
                <anchor moveWithCells="1">
                  <from>
                    <xdr:col>3</xdr:col>
                    <xdr:colOff>19050</xdr:colOff>
                    <xdr:row>51</xdr:row>
                    <xdr:rowOff>9525</xdr:rowOff>
                  </from>
                  <to>
                    <xdr:col>9</xdr:col>
                    <xdr:colOff>571500</xdr:colOff>
                    <xdr:row>51</xdr:row>
                    <xdr:rowOff>180975</xdr:rowOff>
                  </to>
                </anchor>
              </controlPr>
            </control>
          </mc:Choice>
        </mc:AlternateContent>
        <mc:AlternateContent xmlns:mc="http://schemas.openxmlformats.org/markup-compatibility/2006">
          <mc:Choice Requires="x14">
            <control shapeId="2064" r:id="rId20" name="Check Box 16">
              <controlPr defaultSize="0" autoFill="0" autoLine="0" autoPict="0" altText="Interdiction d'accueil du public (du ... au ...)">
                <anchor moveWithCells="1">
                  <from>
                    <xdr:col>3</xdr:col>
                    <xdr:colOff>19050</xdr:colOff>
                    <xdr:row>53</xdr:row>
                    <xdr:rowOff>9525</xdr:rowOff>
                  </from>
                  <to>
                    <xdr:col>9</xdr:col>
                    <xdr:colOff>571500</xdr:colOff>
                    <xdr:row>53</xdr:row>
                    <xdr:rowOff>180975</xdr:rowOff>
                  </to>
                </anchor>
              </controlPr>
            </control>
          </mc:Choice>
        </mc:AlternateContent>
        <mc:AlternateContent xmlns:mc="http://schemas.openxmlformats.org/markup-compatibility/2006">
          <mc:Choice Requires="x14">
            <control shapeId="2065" r:id="rId21" name="Check Box 17">
              <controlPr defaultSize="0" autoFill="0" autoLine="0" autoPict="0">
                <anchor moveWithCells="1">
                  <from>
                    <xdr:col>3</xdr:col>
                    <xdr:colOff>19050</xdr:colOff>
                    <xdr:row>25</xdr:row>
                    <xdr:rowOff>9525</xdr:rowOff>
                  </from>
                  <to>
                    <xdr:col>10</xdr:col>
                    <xdr:colOff>47625</xdr:colOff>
                    <xdr:row>25</xdr:row>
                    <xdr:rowOff>209550</xdr:rowOff>
                  </to>
                </anchor>
              </controlPr>
            </control>
          </mc:Choice>
        </mc:AlternateContent>
        <mc:AlternateContent xmlns:mc="http://schemas.openxmlformats.org/markup-compatibility/2006">
          <mc:Choice Requires="x14">
            <control shapeId="2066" r:id="rId22" name="Check Box 18">
              <controlPr defaultSize="0" autoFill="0" autoLine="0" autoPict="0" altText="Interdiction d'accueil du public (du ... au ...)">
                <anchor moveWithCells="1">
                  <from>
                    <xdr:col>3</xdr:col>
                    <xdr:colOff>19050</xdr:colOff>
                    <xdr:row>55</xdr:row>
                    <xdr:rowOff>9525</xdr:rowOff>
                  </from>
                  <to>
                    <xdr:col>9</xdr:col>
                    <xdr:colOff>571500</xdr:colOff>
                    <xdr:row>55</xdr:row>
                    <xdr:rowOff>180975</xdr:rowOff>
                  </to>
                </anchor>
              </controlPr>
            </control>
          </mc:Choice>
        </mc:AlternateContent>
        <mc:AlternateContent xmlns:mc="http://schemas.openxmlformats.org/markup-compatibility/2006">
          <mc:Choice Requires="x14">
            <control shapeId="2068" r:id="rId23" name="Check Box 20">
              <controlPr defaultSize="0" autoFill="0" autoLine="0" autoPict="0" altText="Interdiction d'accueil du public (du ... au ...)">
                <anchor moveWithCells="1">
                  <from>
                    <xdr:col>3</xdr:col>
                    <xdr:colOff>19050</xdr:colOff>
                    <xdr:row>57</xdr:row>
                    <xdr:rowOff>9525</xdr:rowOff>
                  </from>
                  <to>
                    <xdr:col>9</xdr:col>
                    <xdr:colOff>571500</xdr:colOff>
                    <xdr:row>57</xdr:row>
                    <xdr:rowOff>180975</xdr:rowOff>
                  </to>
                </anchor>
              </controlPr>
            </control>
          </mc:Choice>
        </mc:AlternateContent>
        <mc:AlternateContent xmlns:mc="http://schemas.openxmlformats.org/markup-compatibility/2006">
          <mc:Choice Requires="x14">
            <control shapeId="2069" r:id="rId24" name="Check Box 21">
              <controlPr defaultSize="0" autoFill="0" autoLine="0" autoPict="0" altText="Interdiction d'accueil du public (du ... au ...)">
                <anchor moveWithCells="1">
                  <from>
                    <xdr:col>3</xdr:col>
                    <xdr:colOff>19050</xdr:colOff>
                    <xdr:row>59</xdr:row>
                    <xdr:rowOff>9525</xdr:rowOff>
                  </from>
                  <to>
                    <xdr:col>9</xdr:col>
                    <xdr:colOff>571500</xdr:colOff>
                    <xdr:row>59</xdr:row>
                    <xdr:rowOff>180975</xdr:rowOff>
                  </to>
                </anchor>
              </controlPr>
            </control>
          </mc:Choice>
        </mc:AlternateContent>
        <mc:AlternateContent xmlns:mc="http://schemas.openxmlformats.org/markup-compatibility/2006">
          <mc:Choice Requires="x14">
            <control shapeId="2070" r:id="rId25" name="Check Box 22">
              <controlPr defaultSize="0" autoFill="0" autoLine="0" autoPict="0" altText="Interdiction d'accueil du public (du ... au ...)">
                <anchor moveWithCells="1">
                  <from>
                    <xdr:col>3</xdr:col>
                    <xdr:colOff>19050</xdr:colOff>
                    <xdr:row>61</xdr:row>
                    <xdr:rowOff>9525</xdr:rowOff>
                  </from>
                  <to>
                    <xdr:col>9</xdr:col>
                    <xdr:colOff>571500</xdr:colOff>
                    <xdr:row>61</xdr:row>
                    <xdr:rowOff>180975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19050</xdr:colOff>
                    <xdr:row>27</xdr:row>
                    <xdr:rowOff>9525</xdr:rowOff>
                  </from>
                  <to>
                    <xdr:col>10</xdr:col>
                    <xdr:colOff>47625</xdr:colOff>
                    <xdr:row>28</xdr:row>
                    <xdr:rowOff>9525</xdr:rowOff>
                  </to>
                </anchor>
              </controlPr>
            </control>
          </mc:Choice>
        </mc:AlternateContent>
        <mc:AlternateContent xmlns:mc="http://schemas.openxmlformats.org/markup-compatibility/2006">
          <mc:Choice Requires="x14">
            <control shapeId="2072" r:id="rId27" name="Check Box 24">
              <controlPr defaultSize="0" autoFill="0" autoLine="0" autoPict="0" altText="Interdiction d'accueil du public (du ... au ...)">
                <anchor moveWithCells="1">
                  <from>
                    <xdr:col>3</xdr:col>
                    <xdr:colOff>19050</xdr:colOff>
                    <xdr:row>63</xdr:row>
                    <xdr:rowOff>9525</xdr:rowOff>
                  </from>
                  <to>
                    <xdr:col>9</xdr:col>
                    <xdr:colOff>571500</xdr:colOff>
                    <xdr:row>63</xdr:row>
                    <xdr:rowOff>180975</xdr:rowOff>
                  </to>
                </anchor>
              </controlPr>
            </control>
          </mc:Choice>
        </mc:AlternateContent>
        <mc:AlternateContent xmlns:mc="http://schemas.openxmlformats.org/markup-compatibility/2006">
          <mc:Choice Requires="x14">
            <control shapeId="2073" r:id="rId28" name="Check Box 25">
              <controlPr defaultSize="0" autoFill="0" autoLine="0" autoPict="0" altText="Interdiction d'accueil du public (du ... au ...)">
                <anchor moveWithCells="1">
                  <from>
                    <xdr:col>3</xdr:col>
                    <xdr:colOff>19050</xdr:colOff>
                    <xdr:row>65</xdr:row>
                    <xdr:rowOff>9525</xdr:rowOff>
                  </from>
                  <to>
                    <xdr:col>9</xdr:col>
                    <xdr:colOff>571500</xdr:colOff>
                    <xdr:row>65</xdr:row>
                    <xdr:rowOff>180975</xdr:rowOff>
                  </to>
                </anchor>
              </controlPr>
            </control>
          </mc:Choice>
        </mc:AlternateContent>
        <mc:AlternateContent xmlns:mc="http://schemas.openxmlformats.org/markup-compatibility/2006">
          <mc:Choice Requires="x14">
            <control shapeId="2074" r:id="rId29" name="Check Box 26">
              <controlPr defaultSize="0" autoFill="0" autoLine="0" autoPict="0" altText="Interdiction d'accueil du public (du ... au ...)">
                <anchor moveWithCells="1">
                  <from>
                    <xdr:col>3</xdr:col>
                    <xdr:colOff>19050</xdr:colOff>
                    <xdr:row>67</xdr:row>
                    <xdr:rowOff>9525</xdr:rowOff>
                  </from>
                  <to>
                    <xdr:col>9</xdr:col>
                    <xdr:colOff>571500</xdr:colOff>
                    <xdr:row>67</xdr:row>
                    <xdr:rowOff>180975</xdr:rowOff>
                  </to>
                </anchor>
              </controlPr>
            </control>
          </mc:Choice>
        </mc:AlternateContent>
        <mc:AlternateContent xmlns:mc="http://schemas.openxmlformats.org/markup-compatibility/2006">
          <mc:Choice Requires="x14">
            <control shapeId="2075" r:id="rId30" name="Check Box 27">
              <controlPr defaultSize="0" autoFill="0" autoLine="0" autoPict="0" altText="Interdiction d'accueil du public (du ... au ...)">
                <anchor moveWithCells="1">
                  <from>
                    <xdr:col>3</xdr:col>
                    <xdr:colOff>19050</xdr:colOff>
                    <xdr:row>71</xdr:row>
                    <xdr:rowOff>9525</xdr:rowOff>
                  </from>
                  <to>
                    <xdr:col>9</xdr:col>
                    <xdr:colOff>571500</xdr:colOff>
                    <xdr:row>71</xdr:row>
                    <xdr:rowOff>180975</xdr:rowOff>
                  </to>
                </anchor>
              </controlPr>
            </control>
          </mc:Choice>
        </mc:AlternateContent>
        <mc:AlternateContent xmlns:mc="http://schemas.openxmlformats.org/markup-compatibility/2006">
          <mc:Choice Requires="x14">
            <control shapeId="2077" r:id="rId31" name="Check Box 29">
              <controlPr defaultSize="0" autoFill="0" autoLine="0" autoPict="0" altText="Interdiction d'accueil du public (du ... au ...)">
                <anchor moveWithCells="1">
                  <from>
                    <xdr:col>3</xdr:col>
                    <xdr:colOff>19050</xdr:colOff>
                    <xdr:row>69</xdr:row>
                    <xdr:rowOff>9525</xdr:rowOff>
                  </from>
                  <to>
                    <xdr:col>9</xdr:col>
                    <xdr:colOff>571500</xdr:colOff>
                    <xdr:row>69</xdr:row>
                    <xdr:rowOff>180975</xdr:rowOff>
                  </to>
                </anchor>
              </controlPr>
            </control>
          </mc:Choice>
        </mc:AlternateContent>
        <mc:AlternateContent xmlns:mc="http://schemas.openxmlformats.org/markup-compatibility/2006">
          <mc:Choice Requires="x14">
            <control shapeId="2078" r:id="rId32" name="Check Box 30">
              <controlPr defaultSize="0" autoFill="0" autoLine="0" autoPict="0" altText="Interdiction d'accueil du public (du ... au ...)">
                <anchor moveWithCells="1">
                  <from>
                    <xdr:col>3</xdr:col>
                    <xdr:colOff>19050</xdr:colOff>
                    <xdr:row>73</xdr:row>
                    <xdr:rowOff>9525</xdr:rowOff>
                  </from>
                  <to>
                    <xdr:col>9</xdr:col>
                    <xdr:colOff>571500</xdr:colOff>
                    <xdr:row>73</xdr:row>
                    <xdr:rowOff>180975</xdr:rowOff>
                  </to>
                </anchor>
              </controlPr>
            </control>
          </mc:Choice>
        </mc:AlternateContent>
        <mc:AlternateContent xmlns:mc="http://schemas.openxmlformats.org/markup-compatibility/2006">
          <mc:Choice Requires="x14">
            <control shapeId="2080" r:id="rId33" name="Check Box 32">
              <controlPr defaultSize="0" autoFill="0" autoLine="0" autoPict="0" altText="Interdiction d'accueil du public (du ... au ...)">
                <anchor moveWithCells="1">
                  <from>
                    <xdr:col>3</xdr:col>
                    <xdr:colOff>19050</xdr:colOff>
                    <xdr:row>75</xdr:row>
                    <xdr:rowOff>9525</xdr:rowOff>
                  </from>
                  <to>
                    <xdr:col>9</xdr:col>
                    <xdr:colOff>571500</xdr:colOff>
                    <xdr:row>75</xdr:row>
                    <xdr:rowOff>180975</xdr:rowOff>
                  </to>
                </anchor>
              </controlPr>
            </control>
          </mc:Choice>
        </mc:AlternateContent>
        <mc:AlternateContent xmlns:mc="http://schemas.openxmlformats.org/markup-compatibility/2006">
          <mc:Choice Requires="x14">
            <control shapeId="2081" r:id="rId34" name="Check Box 33">
              <controlPr defaultSize="0" autoFill="0" autoLine="0" autoPict="0" altText="Interdiction d'accueil du public (du ... au ...)">
                <anchor moveWithCells="1">
                  <from>
                    <xdr:col>3</xdr:col>
                    <xdr:colOff>19050</xdr:colOff>
                    <xdr:row>79</xdr:row>
                    <xdr:rowOff>9525</xdr:rowOff>
                  </from>
                  <to>
                    <xdr:col>9</xdr:col>
                    <xdr:colOff>571500</xdr:colOff>
                    <xdr:row>79</xdr:row>
                    <xdr:rowOff>180975</xdr:rowOff>
                  </to>
                </anchor>
              </controlPr>
            </control>
          </mc:Choice>
        </mc:AlternateContent>
        <mc:AlternateContent xmlns:mc="http://schemas.openxmlformats.org/markup-compatibility/2006">
          <mc:Choice Requires="x14">
            <control shapeId="2082" r:id="rId35" name="Check Box 34">
              <controlPr defaultSize="0" autoFill="0" autoLine="0" autoPict="0" altText="Interdiction d'accueil du public (du ... au ...)">
                <anchor moveWithCells="1">
                  <from>
                    <xdr:col>3</xdr:col>
                    <xdr:colOff>19050</xdr:colOff>
                    <xdr:row>77</xdr:row>
                    <xdr:rowOff>9525</xdr:rowOff>
                  </from>
                  <to>
                    <xdr:col>9</xdr:col>
                    <xdr:colOff>571500</xdr:colOff>
                    <xdr:row>77</xdr:row>
                    <xdr:rowOff>180975</xdr:rowOff>
                  </to>
                </anchor>
              </controlPr>
            </control>
          </mc:Choice>
        </mc:AlternateContent>
        <mc:AlternateContent xmlns:mc="http://schemas.openxmlformats.org/markup-compatibility/2006">
          <mc:Choice Requires="x14">
            <control shapeId="2083" r:id="rId36" name="Check Box 35">
              <controlPr defaultSize="0" autoFill="0" autoLine="0" autoPict="0" altText="Interdiction d'accueil du public (du ... au ...)">
                <anchor moveWithCells="1">
                  <from>
                    <xdr:col>3</xdr:col>
                    <xdr:colOff>19050</xdr:colOff>
                    <xdr:row>83</xdr:row>
                    <xdr:rowOff>9525</xdr:rowOff>
                  </from>
                  <to>
                    <xdr:col>9</xdr:col>
                    <xdr:colOff>571500</xdr:colOff>
                    <xdr:row>83</xdr:row>
                    <xdr:rowOff>180975</xdr:rowOff>
                  </to>
                </anchor>
              </controlPr>
            </control>
          </mc:Choice>
        </mc:AlternateContent>
        <mc:AlternateContent xmlns:mc="http://schemas.openxmlformats.org/markup-compatibility/2006">
          <mc:Choice Requires="x14">
            <control shapeId="2084" r:id="rId37" name="Check Box 36">
              <controlPr defaultSize="0" autoFill="0" autoLine="0" autoPict="0" altText="Interdiction d'accueil du public (du ... au ...)">
                <anchor moveWithCells="1">
                  <from>
                    <xdr:col>3</xdr:col>
                    <xdr:colOff>19050</xdr:colOff>
                    <xdr:row>85</xdr:row>
                    <xdr:rowOff>9525</xdr:rowOff>
                  </from>
                  <to>
                    <xdr:col>9</xdr:col>
                    <xdr:colOff>571500</xdr:colOff>
                    <xdr:row>85</xdr:row>
                    <xdr:rowOff>180975</xdr:rowOff>
                  </to>
                </anchor>
              </controlPr>
            </control>
          </mc:Choice>
        </mc:AlternateContent>
        <mc:AlternateContent xmlns:mc="http://schemas.openxmlformats.org/markup-compatibility/2006">
          <mc:Choice Requires="x14">
            <control shapeId="2086" r:id="rId38" name="Check Box 38">
              <controlPr defaultSize="0" autoFill="0" autoLine="0" autoPict="0" altText="Interdiction d'accueil du public (du ... au ...)">
                <anchor moveWithCells="1">
                  <from>
                    <xdr:col>3</xdr:col>
                    <xdr:colOff>19050</xdr:colOff>
                    <xdr:row>81</xdr:row>
                    <xdr:rowOff>9525</xdr:rowOff>
                  </from>
                  <to>
                    <xdr:col>9</xdr:col>
                    <xdr:colOff>571500</xdr:colOff>
                    <xdr:row>81</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rgb="FF8ECFDD"/>
  </sheetPr>
  <dimension ref="A3:AH725"/>
  <sheetViews>
    <sheetView showGridLines="0" topLeftCell="A595" workbookViewId="0">
      <selection activeCell="B2" sqref="B2"/>
    </sheetView>
  </sheetViews>
  <sheetFormatPr baseColWidth="10" defaultRowHeight="15"/>
  <cols>
    <col min="2" max="2" width="6" customWidth="1"/>
    <col min="3" max="3" width="4" customWidth="1"/>
    <col min="7" max="7" width="7.85546875" customWidth="1"/>
    <col min="8" max="8" width="3.42578125" customWidth="1"/>
    <col min="9" max="9" width="16.5703125" customWidth="1"/>
    <col min="10" max="10" width="4.42578125" customWidth="1"/>
    <col min="11" max="11" width="10.5703125" customWidth="1"/>
    <col min="13" max="14" width="4.85546875" customWidth="1"/>
    <col min="15" max="15" width="17.28515625" customWidth="1"/>
    <col min="19" max="19" width="7.5703125" customWidth="1"/>
    <col min="20" max="20" width="12.85546875" hidden="1" customWidth="1"/>
    <col min="21" max="23" width="11.42578125" hidden="1" customWidth="1"/>
    <col min="24" max="24" width="4.42578125" hidden="1" customWidth="1"/>
    <col min="25" max="25" width="15.140625" hidden="1" customWidth="1"/>
    <col min="26" max="26" width="3" hidden="1" customWidth="1"/>
    <col min="27" max="27" width="3.7109375" hidden="1" customWidth="1"/>
    <col min="28" max="28" width="14.28515625" hidden="1" customWidth="1"/>
    <col min="29" max="29" width="3.7109375" hidden="1" customWidth="1"/>
    <col min="30" max="30" width="3.85546875" hidden="1" customWidth="1"/>
    <col min="31" max="31" width="11.42578125" hidden="1" customWidth="1"/>
  </cols>
  <sheetData>
    <row r="3" spans="2:34" ht="15" customHeight="1">
      <c r="B3" s="5"/>
      <c r="C3" s="77"/>
      <c r="D3" s="77"/>
      <c r="E3" s="77"/>
      <c r="F3" s="548" t="s">
        <v>125</v>
      </c>
      <c r="G3" s="548"/>
      <c r="H3" s="548"/>
      <c r="I3" s="548"/>
      <c r="J3" s="548"/>
      <c r="K3" s="548"/>
      <c r="L3" s="548"/>
      <c r="M3" s="548"/>
      <c r="N3" s="548"/>
      <c r="O3" s="548"/>
      <c r="R3" s="109"/>
    </row>
    <row r="4" spans="2:34" ht="15" customHeight="1">
      <c r="B4" s="77"/>
      <c r="C4" s="77"/>
      <c r="D4" s="77"/>
      <c r="E4" s="77"/>
      <c r="F4" s="548"/>
      <c r="G4" s="548"/>
      <c r="H4" s="548"/>
      <c r="I4" s="548"/>
      <c r="J4" s="548"/>
      <c r="K4" s="548"/>
      <c r="L4" s="548"/>
      <c r="M4" s="548"/>
      <c r="N4" s="548"/>
      <c r="O4" s="548"/>
      <c r="P4" s="99"/>
    </row>
    <row r="5" spans="2:34" ht="15" customHeight="1">
      <c r="B5" s="77"/>
      <c r="C5" s="77"/>
      <c r="D5" s="77"/>
      <c r="E5" s="77"/>
      <c r="F5" s="548"/>
      <c r="G5" s="548"/>
      <c r="H5" s="548"/>
      <c r="I5" s="548"/>
      <c r="J5" s="548"/>
      <c r="K5" s="548"/>
      <c r="L5" s="548"/>
      <c r="M5" s="548"/>
      <c r="N5" s="548"/>
      <c r="O5" s="548"/>
    </row>
    <row r="6" spans="2:34" ht="15" customHeight="1">
      <c r="B6" s="77"/>
      <c r="C6" s="77"/>
      <c r="D6" s="77"/>
      <c r="E6" s="77"/>
      <c r="F6" s="548"/>
      <c r="G6" s="548"/>
      <c r="H6" s="548"/>
      <c r="I6" s="548"/>
      <c r="J6" s="548"/>
      <c r="K6" s="548"/>
      <c r="L6" s="548"/>
      <c r="M6" s="548"/>
      <c r="N6" s="548"/>
      <c r="O6" s="548"/>
    </row>
    <row r="7" spans="2:34">
      <c r="B7" s="9"/>
      <c r="C7" s="9"/>
      <c r="D7" s="9"/>
      <c r="E7" s="9"/>
      <c r="F7" s="9"/>
      <c r="G7" s="108"/>
      <c r="H7" s="9"/>
      <c r="I7" s="9"/>
      <c r="J7" s="9"/>
      <c r="K7" s="9"/>
      <c r="L7" s="9"/>
      <c r="M7" s="9"/>
      <c r="N7" s="9"/>
    </row>
    <row r="8" spans="2:34" ht="15.75">
      <c r="B8" s="549" t="s">
        <v>34</v>
      </c>
      <c r="C8" s="549"/>
      <c r="D8" s="549"/>
      <c r="E8" s="549"/>
      <c r="F8" s="549"/>
      <c r="G8" s="549"/>
      <c r="H8" s="549"/>
      <c r="I8" s="549"/>
      <c r="J8" s="549"/>
      <c r="K8" s="549"/>
      <c r="L8" s="549"/>
      <c r="M8" s="549"/>
      <c r="N8" s="549"/>
      <c r="O8" s="549"/>
    </row>
    <row r="9" spans="2:34" ht="15" customHeight="1">
      <c r="B9" s="550" t="s">
        <v>33</v>
      </c>
      <c r="C9" s="550"/>
      <c r="D9" s="550"/>
      <c r="E9" s="550"/>
      <c r="F9" s="550"/>
      <c r="G9" s="550"/>
      <c r="H9" s="550"/>
      <c r="I9" s="550"/>
      <c r="J9" s="550"/>
      <c r="K9" s="550"/>
      <c r="L9" s="550"/>
      <c r="M9" s="550"/>
      <c r="N9" s="550"/>
      <c r="O9" s="550"/>
    </row>
    <row r="10" spans="2:34" ht="15" customHeight="1">
      <c r="B10" s="550"/>
      <c r="C10" s="550"/>
      <c r="D10" s="550"/>
      <c r="E10" s="550"/>
      <c r="F10" s="550"/>
      <c r="G10" s="550"/>
      <c r="H10" s="550"/>
      <c r="I10" s="550"/>
      <c r="J10" s="550"/>
      <c r="K10" s="550"/>
      <c r="L10" s="550"/>
      <c r="M10" s="550"/>
      <c r="N10" s="550"/>
      <c r="O10" s="550"/>
    </row>
    <row r="11" spans="2:34" ht="15.75">
      <c r="B11" s="549" t="s">
        <v>65</v>
      </c>
      <c r="C11" s="549"/>
      <c r="D11" s="549"/>
      <c r="E11" s="549"/>
      <c r="F11" s="549"/>
      <c r="G11" s="549"/>
      <c r="H11" s="549"/>
      <c r="I11" s="549"/>
      <c r="J11" s="549"/>
      <c r="K11" s="549"/>
      <c r="L11" s="549"/>
      <c r="M11" s="549"/>
      <c r="N11" s="549"/>
      <c r="O11" s="549"/>
      <c r="P11" s="99"/>
      <c r="Q11" s="99"/>
      <c r="R11" s="99"/>
      <c r="S11" s="99"/>
    </row>
    <row r="12" spans="2:34">
      <c r="R12" t="s">
        <v>7</v>
      </c>
    </row>
    <row r="13" spans="2:34">
      <c r="B13" s="413" t="s">
        <v>68</v>
      </c>
      <c r="C13" s="413"/>
      <c r="D13" s="413"/>
      <c r="E13" s="413"/>
      <c r="F13" s="413"/>
      <c r="G13" s="413"/>
      <c r="H13" s="413"/>
      <c r="I13" s="413"/>
      <c r="J13" s="413"/>
      <c r="K13" s="413"/>
      <c r="L13" s="413"/>
      <c r="M13" s="413"/>
      <c r="N13" s="413"/>
      <c r="O13" s="413"/>
      <c r="S13" s="109"/>
      <c r="T13" s="535" t="s">
        <v>32</v>
      </c>
      <c r="U13" s="535"/>
      <c r="V13" s="535"/>
      <c r="W13" s="535"/>
      <c r="X13" s="535"/>
      <c r="Y13" s="535"/>
      <c r="Z13" s="535"/>
      <c r="AA13" s="535"/>
      <c r="AB13" s="535"/>
      <c r="AC13" s="535"/>
      <c r="AD13" s="535"/>
      <c r="AE13" s="535"/>
      <c r="AF13" s="1"/>
      <c r="AG13" s="1"/>
      <c r="AH13" s="1"/>
    </row>
    <row r="14" spans="2:34" ht="16.5" customHeight="1">
      <c r="B14" s="218"/>
      <c r="C14" s="218"/>
      <c r="D14" s="218"/>
      <c r="E14" s="218"/>
      <c r="F14" s="218"/>
      <c r="G14" s="218"/>
      <c r="H14" s="218"/>
      <c r="I14" s="218"/>
      <c r="J14" s="218"/>
      <c r="K14" s="218"/>
      <c r="L14" s="218"/>
      <c r="M14" s="218"/>
      <c r="N14" s="218"/>
      <c r="O14" s="218"/>
      <c r="S14" s="109"/>
      <c r="T14" s="535"/>
      <c r="U14" s="535"/>
      <c r="V14" s="535"/>
      <c r="W14" s="535"/>
      <c r="X14" s="535"/>
      <c r="Y14" s="535"/>
      <c r="Z14" s="535"/>
      <c r="AA14" s="535"/>
      <c r="AB14" s="535"/>
      <c r="AC14" s="535"/>
      <c r="AD14" s="535"/>
      <c r="AE14" s="535"/>
      <c r="AF14" s="1"/>
      <c r="AG14" s="1"/>
      <c r="AH14" s="1"/>
    </row>
    <row r="15" spans="2:34" ht="15.75" thickBot="1">
      <c r="B15" s="223"/>
      <c r="C15" s="223"/>
      <c r="D15" s="223"/>
      <c r="E15" s="223"/>
      <c r="F15" s="223"/>
      <c r="G15" s="223"/>
      <c r="H15" s="223"/>
      <c r="I15" s="223"/>
      <c r="J15" s="223"/>
      <c r="K15" s="223"/>
      <c r="L15" s="223"/>
      <c r="M15" s="223"/>
      <c r="N15" s="223"/>
      <c r="O15" s="223"/>
      <c r="S15" s="109"/>
      <c r="T15" s="535"/>
      <c r="U15" s="535"/>
      <c r="V15" s="535"/>
      <c r="W15" s="535"/>
      <c r="X15" s="535"/>
      <c r="Y15" s="535"/>
      <c r="Z15" s="535"/>
      <c r="AA15" s="535"/>
      <c r="AB15" s="535"/>
      <c r="AC15" s="535"/>
      <c r="AD15" s="535"/>
      <c r="AE15" s="535"/>
      <c r="AF15" s="1"/>
      <c r="AG15" s="1"/>
      <c r="AH15" s="1"/>
    </row>
    <row r="16" spans="2:34" ht="15" customHeight="1">
      <c r="B16" s="533">
        <v>2020</v>
      </c>
      <c r="C16" s="533"/>
      <c r="D16" s="533"/>
      <c r="E16" s="533"/>
      <c r="F16" s="533"/>
      <c r="G16" s="533"/>
      <c r="H16" s="533"/>
      <c r="I16" s="533"/>
      <c r="J16" s="533"/>
      <c r="K16" s="533"/>
      <c r="L16" s="533"/>
      <c r="M16" s="533"/>
      <c r="N16" s="533"/>
      <c r="O16" s="533"/>
      <c r="S16" s="109"/>
      <c r="T16" s="535"/>
      <c r="U16" s="535"/>
      <c r="V16" s="535"/>
      <c r="W16" s="535"/>
      <c r="X16" s="535"/>
      <c r="Y16" s="535"/>
      <c r="Z16" s="535"/>
      <c r="AA16" s="535"/>
      <c r="AB16" s="535"/>
      <c r="AC16" s="535"/>
      <c r="AD16" s="535"/>
      <c r="AE16" s="535"/>
      <c r="AF16" s="1"/>
      <c r="AG16" s="1"/>
      <c r="AH16" s="1"/>
    </row>
    <row r="17" spans="2:34" ht="15.75" customHeight="1" thickBot="1">
      <c r="B17" s="534"/>
      <c r="C17" s="534"/>
      <c r="D17" s="534"/>
      <c r="E17" s="534"/>
      <c r="F17" s="534"/>
      <c r="G17" s="534"/>
      <c r="H17" s="534"/>
      <c r="I17" s="534"/>
      <c r="J17" s="534"/>
      <c r="K17" s="534"/>
      <c r="L17" s="534"/>
      <c r="M17" s="534"/>
      <c r="N17" s="534"/>
      <c r="O17" s="534"/>
      <c r="S17" s="109"/>
      <c r="T17" s="535"/>
      <c r="U17" s="535"/>
      <c r="V17" s="535"/>
      <c r="W17" s="535"/>
      <c r="X17" s="535"/>
      <c r="Y17" s="535"/>
      <c r="Z17" s="535"/>
      <c r="AA17" s="535"/>
      <c r="AB17" s="535"/>
      <c r="AC17" s="535"/>
      <c r="AD17" s="535"/>
      <c r="AE17" s="535"/>
      <c r="AF17" s="1"/>
      <c r="AG17" s="1"/>
      <c r="AH17" s="1"/>
    </row>
    <row r="18" spans="2:34">
      <c r="S18" s="109"/>
      <c r="T18" s="535"/>
      <c r="U18" s="535"/>
      <c r="V18" s="535"/>
      <c r="W18" s="535"/>
      <c r="X18" s="535"/>
      <c r="Y18" s="535"/>
      <c r="Z18" s="535"/>
      <c r="AA18" s="535"/>
      <c r="AB18" s="535"/>
      <c r="AC18" s="535"/>
      <c r="AD18" s="535"/>
      <c r="AE18" s="535"/>
      <c r="AF18" s="1"/>
      <c r="AG18" s="1"/>
      <c r="AH18" s="1"/>
    </row>
    <row r="19" spans="2:34">
      <c r="S19" s="109"/>
      <c r="T19" s="535"/>
      <c r="U19" s="535"/>
      <c r="V19" s="535"/>
      <c r="W19" s="535"/>
      <c r="X19" s="535"/>
      <c r="Y19" s="535"/>
      <c r="Z19" s="535"/>
      <c r="AA19" s="535"/>
      <c r="AB19" s="535"/>
      <c r="AC19" s="535"/>
      <c r="AD19" s="535"/>
      <c r="AE19" s="535"/>
      <c r="AF19" s="1"/>
      <c r="AG19" s="1"/>
      <c r="AH19" s="1"/>
    </row>
    <row r="20" spans="2:34" ht="19.5" customHeight="1" thickBot="1">
      <c r="B20" s="221"/>
      <c r="C20" s="488" t="s">
        <v>19</v>
      </c>
      <c r="D20" s="488"/>
      <c r="E20" s="488"/>
      <c r="F20" s="488"/>
      <c r="G20" s="488"/>
      <c r="H20" s="488"/>
      <c r="I20" s="222"/>
      <c r="J20" s="221"/>
      <c r="K20" s="221"/>
      <c r="L20" s="221"/>
      <c r="M20" s="221"/>
      <c r="N20" s="221"/>
      <c r="O20" s="221"/>
      <c r="T20" s="535"/>
      <c r="U20" s="535"/>
      <c r="V20" s="535"/>
      <c r="W20" s="535"/>
      <c r="X20" s="535"/>
      <c r="Y20" s="535"/>
      <c r="Z20" s="535"/>
      <c r="AA20" s="535"/>
      <c r="AB20" s="535"/>
      <c r="AC20" s="535"/>
      <c r="AD20" s="535"/>
      <c r="AE20" s="535"/>
      <c r="AF20" s="1"/>
      <c r="AG20" s="1"/>
      <c r="AH20" s="1"/>
    </row>
    <row r="21" spans="2:34" ht="15" customHeight="1">
      <c r="B21" s="1"/>
      <c r="C21" s="111"/>
      <c r="D21" s="111"/>
      <c r="E21" s="111"/>
      <c r="F21" s="111"/>
      <c r="G21" s="111"/>
      <c r="H21" s="111"/>
      <c r="I21" s="44"/>
      <c r="J21" s="1"/>
      <c r="K21" s="1"/>
      <c r="L21" s="1"/>
      <c r="M21" s="1"/>
      <c r="N21" s="1"/>
      <c r="O21" s="1"/>
      <c r="S21" s="109"/>
      <c r="T21" s="107"/>
      <c r="U21" s="107"/>
      <c r="V21" s="107"/>
      <c r="W21" s="107"/>
      <c r="X21" s="107"/>
      <c r="Y21" s="107"/>
      <c r="Z21" s="107"/>
      <c r="AA21" s="107"/>
      <c r="AB21" s="107"/>
      <c r="AC21" s="107"/>
      <c r="AD21" s="107"/>
      <c r="AE21" s="107"/>
      <c r="AF21" s="1"/>
      <c r="AG21" s="1"/>
      <c r="AH21" s="1"/>
    </row>
    <row r="22" spans="2:34">
      <c r="B22" s="44"/>
      <c r="C22" s="40"/>
      <c r="D22" s="40"/>
      <c r="E22" s="40"/>
      <c r="F22" s="40"/>
      <c r="G22" s="40"/>
      <c r="H22" s="40"/>
      <c r="I22" s="44"/>
      <c r="J22" s="44"/>
      <c r="K22" s="44"/>
      <c r="L22" s="44"/>
      <c r="M22" s="44"/>
      <c r="N22" s="44"/>
      <c r="O22" s="44"/>
      <c r="P22" s="1"/>
      <c r="Q22" s="1"/>
      <c r="R22" s="1"/>
      <c r="S22" s="109"/>
      <c r="T22" s="16"/>
      <c r="U22" s="11"/>
      <c r="V22" s="11"/>
      <c r="W22" s="11"/>
      <c r="X22" s="11"/>
      <c r="Y22" s="11"/>
      <c r="Z22" s="11"/>
      <c r="AA22" s="11"/>
      <c r="AB22" s="11"/>
      <c r="AC22" s="11"/>
      <c r="AD22" s="11"/>
      <c r="AE22" s="12"/>
      <c r="AF22" s="1"/>
      <c r="AG22" s="1"/>
      <c r="AH22" s="1"/>
    </row>
    <row r="23" spans="2:34" ht="15" customHeight="1">
      <c r="B23" s="40"/>
      <c r="C23" s="401" t="s">
        <v>28</v>
      </c>
      <c r="D23" s="401"/>
      <c r="E23" s="401"/>
      <c r="F23" s="401"/>
      <c r="G23" s="401"/>
      <c r="H23" s="401"/>
      <c r="I23" s="401"/>
      <c r="J23" s="40"/>
      <c r="K23" s="40"/>
      <c r="L23" s="40"/>
      <c r="M23" s="40"/>
      <c r="N23" s="40"/>
      <c r="O23" s="40"/>
      <c r="S23" s="109"/>
      <c r="T23" s="25"/>
      <c r="U23" s="490" t="s">
        <v>20</v>
      </c>
      <c r="V23" s="490"/>
      <c r="W23" s="490"/>
      <c r="X23" s="1"/>
      <c r="Y23" s="117" t="s">
        <v>6</v>
      </c>
      <c r="Z23" s="117"/>
      <c r="AA23" s="126"/>
      <c r="AB23" s="117" t="s">
        <v>23</v>
      </c>
      <c r="AC23" s="117"/>
      <c r="AD23" s="126"/>
      <c r="AE23" s="26" t="s">
        <v>24</v>
      </c>
      <c r="AF23" s="1"/>
      <c r="AG23" s="1"/>
      <c r="AH23" s="1"/>
    </row>
    <row r="24" spans="2:34" ht="15.75" customHeight="1">
      <c r="B24" s="40"/>
      <c r="C24" s="60" t="s">
        <v>7</v>
      </c>
      <c r="D24" s="115" t="s">
        <v>36</v>
      </c>
      <c r="E24" s="115"/>
      <c r="F24" s="115"/>
      <c r="G24" s="115"/>
      <c r="H24" s="115"/>
      <c r="I24" s="115"/>
      <c r="J24" s="45"/>
      <c r="K24" s="45"/>
      <c r="L24" s="45"/>
      <c r="M24" s="40"/>
      <c r="N24" s="40"/>
      <c r="O24" s="40"/>
      <c r="S24" s="109"/>
      <c r="T24" s="491" t="s">
        <v>21</v>
      </c>
      <c r="U24" s="490"/>
      <c r="V24" s="490"/>
      <c r="W24" s="490"/>
      <c r="X24" s="1"/>
      <c r="Y24" s="21">
        <f>'Mon Entreprise'!I106</f>
        <v>0</v>
      </c>
      <c r="Z24" s="21"/>
      <c r="AA24" s="22"/>
      <c r="AB24" s="21">
        <f>IF('Mon Entreprise'!I106-'Mon Entreprise'!M106&lt;0,0,'Mon Entreprise'!I106-'Mon Entreprise'!M106)</f>
        <v>0</v>
      </c>
      <c r="AC24" s="1"/>
      <c r="AD24" s="14"/>
      <c r="AE24" s="27">
        <f>IFERROR(1-'Mon Entreprise'!M106/'Mon Entreprise'!I106,0)</f>
        <v>0</v>
      </c>
      <c r="AF24" s="1"/>
      <c r="AG24" s="1"/>
      <c r="AH24" s="1"/>
    </row>
    <row r="25" spans="2:34" ht="15" hidden="1" customHeight="1">
      <c r="B25" s="40"/>
      <c r="C25" s="60"/>
      <c r="D25" s="60" t="str">
        <f>"Nombre de jours de fermetures au mois de Septembre : "&amp;IF(Annexes!M9=FALSE,0,IF(Annexes!M4=1,0,Annexes!M4-1))&amp;" jour(s)"</f>
        <v>Nombre de jours de fermetures au mois de Septembre : 0 jour(s)</v>
      </c>
      <c r="E25" s="60"/>
      <c r="F25" s="60"/>
      <c r="G25" s="60"/>
      <c r="H25" s="60"/>
      <c r="I25" s="60"/>
      <c r="J25" s="40"/>
      <c r="K25" s="40"/>
      <c r="L25" s="40"/>
      <c r="M25" s="40"/>
      <c r="N25" s="40"/>
      <c r="O25" s="40"/>
      <c r="S25" s="109"/>
      <c r="T25" s="491" t="s">
        <v>25</v>
      </c>
      <c r="U25" s="490"/>
      <c r="V25" s="490"/>
      <c r="W25" s="490"/>
      <c r="X25" s="1"/>
      <c r="Y25" s="21">
        <f>'Mon Entreprise'!I96*(Annexes!M4-1)/360</f>
        <v>0</v>
      </c>
      <c r="Z25" s="21"/>
      <c r="AA25" s="22"/>
      <c r="AB25" s="21">
        <f>IF('Mon Entreprise'!I96*(Annexes!M4-1)/360-'Mon Entreprise'!M106&lt;0,0,'Mon Entreprise'!I96*(Annexes!M4-1)/360-'Mon Entreprise'!M106)</f>
        <v>0</v>
      </c>
      <c r="AC25" s="7"/>
      <c r="AD25" s="14"/>
      <c r="AE25" s="27">
        <f>IFERROR(1-'Mon Entreprise'!M106/('Mon Entreprise'!I96*(Annexes!M4-1)/360),0)</f>
        <v>0</v>
      </c>
      <c r="AF25" s="1"/>
      <c r="AG25" s="1"/>
      <c r="AH25" s="1"/>
    </row>
    <row r="26" spans="2:34" ht="15" hidden="1" customHeight="1">
      <c r="B26" s="40"/>
      <c r="C26" s="60"/>
      <c r="D26" s="60"/>
      <c r="E26" s="115" t="str">
        <f>IF(Annexes!M9=FALSE,"Vous n'avez pas coché la case Fermeture administrative de Septembre à Octobre",IF(Annexes!M4=1,"Vous n'avez pas de jour de fermeture en septembre",""))</f>
        <v>Vous n'avez pas coché la case Fermeture administrative de Septembre à Octobre</v>
      </c>
      <c r="F26" s="100"/>
      <c r="G26" s="100"/>
      <c r="H26" s="100"/>
      <c r="I26" s="100"/>
      <c r="J26" s="57"/>
      <c r="K26" s="57"/>
      <c r="L26" s="57"/>
      <c r="M26" s="40"/>
      <c r="N26" s="40"/>
      <c r="O26" s="40"/>
      <c r="S26" s="109"/>
      <c r="T26" s="491" t="s">
        <v>22</v>
      </c>
      <c r="U26" s="490"/>
      <c r="V26" s="490"/>
      <c r="W26" s="490"/>
      <c r="X26" s="1"/>
      <c r="Y26" s="23" t="str">
        <f>IFERROR(IF(AND('Mon Entreprise'!K8&gt;=Annexes!Q18,'Mon Entreprise'!K8&lt;=Annexes!Q23),'Mon Entreprise'!I185,IF('Mon Entreprise'!K8&gt;=Annexes!O20,'Mon Entreprise'!I177,"NC")),"NC")</f>
        <v>NC</v>
      </c>
      <c r="Z26" s="23"/>
      <c r="AA26" s="22"/>
      <c r="AB26" s="23" t="str">
        <f>IFERROR(IF(AND('Mon Entreprise'!K8&gt;=Annexes!Q18,'Mon Entreprise'!K8&lt;=Annexes!Q23),IF('Mon Entreprise'!I185-'Mon Entreprise'!I109&lt;0,0,'Mon Entreprise'!I185-'Mon Entreprise'!I109),IF('Mon Entreprise'!K8&gt;=Annexes!O20,IF('Mon Entreprise'!I177-'Mon Entreprise'!I109&lt;0,0,'Mon Entreprise'!I177-'Mon Entreprise'!I109),"NC")),"NC")</f>
        <v>NC</v>
      </c>
      <c r="AC26" s="118"/>
      <c r="AD26" s="14"/>
      <c r="AE26" s="28" t="str">
        <f>IFERROR(IF(AND('Mon Entreprise'!K8&gt;=Annexes!Q18,'Mon Entreprise'!K8&lt;=Annexes!Q24),1-'Mon Entreprise'!I109/'Mon Entreprise'!I185,IF('Mon Entreprise'!K8&gt;=Annexes!O20,1-'Mon Entreprise'!I109/'Mon Entreprise'!I177,"NC")),"NC")</f>
        <v>NC</v>
      </c>
      <c r="AF26" s="1"/>
      <c r="AG26" s="1"/>
      <c r="AH26" s="1"/>
    </row>
    <row r="27" spans="2:34" ht="15" hidden="1" customHeight="1">
      <c r="B27" s="40"/>
      <c r="C27" s="60"/>
      <c r="D27" s="60" t="str">
        <f>IFERROR(IF('Mon Entreprise'!K8&gt;=Annexes!O20,IF(AB24&gt;=AB26,"Le CA de référence est celui de Septembre 2019, soit une perte de "&amp;ROUND(AB24,0)&amp;" €"&amp;" ==&gt; "&amp;ROUND(AE24*100,0)&amp;" %","Le CA de référence est celui de la création, soit une perte de "&amp;ROUND(AB26,0)&amp;" €"&amp;" ==&gt; "&amp;ROUND(AE26*100,0)&amp;" %"),IF(AB24&gt;=AB25,"Le CA de référence est celui de Septembre 2019, soit une perte de "&amp;ROUND(AB24,0)&amp;" €"&amp;" ==&gt; "&amp;ROUND(AE24*100,0)&amp;" %","Le CA de référence est celui de l'exercice 2019, soit une perte de "&amp;ROUND(AB25,0)&amp;" €"&amp;" ==&gt; "&amp;ROUND(AE25*100,0)&amp;" %")),"")</f>
        <v>Le CA de référence est celui de Septembre 2019, soit une perte de 0 € ==&gt; 0 %</v>
      </c>
      <c r="E27" s="60"/>
      <c r="F27" s="60"/>
      <c r="G27" s="60"/>
      <c r="H27" s="60"/>
      <c r="I27" s="60"/>
      <c r="J27" s="40"/>
      <c r="K27" s="40"/>
      <c r="L27" s="40"/>
      <c r="M27" s="40"/>
      <c r="N27" s="40"/>
      <c r="O27" s="40"/>
      <c r="S27" s="109"/>
      <c r="T27" s="14"/>
      <c r="U27" s="1"/>
      <c r="V27" s="1"/>
      <c r="W27" s="1"/>
      <c r="X27" s="1"/>
      <c r="Y27" s="1"/>
      <c r="Z27" s="1"/>
      <c r="AA27" s="1"/>
      <c r="AB27" s="1"/>
      <c r="AC27" s="1"/>
      <c r="AD27" s="1"/>
      <c r="AE27" s="13"/>
      <c r="AF27" s="1"/>
      <c r="AG27" s="1"/>
      <c r="AH27" s="1"/>
    </row>
    <row r="28" spans="2:34" ht="15" customHeight="1" thickBot="1">
      <c r="B28" s="40"/>
      <c r="C28" s="40"/>
      <c r="D28" s="40"/>
      <c r="E28" s="40"/>
      <c r="F28" s="40"/>
      <c r="G28" s="40"/>
      <c r="H28" s="40"/>
      <c r="I28" s="40"/>
      <c r="J28" s="40"/>
      <c r="K28" s="40"/>
      <c r="L28" s="40"/>
      <c r="M28" s="40"/>
      <c r="N28" s="40"/>
      <c r="O28" s="40"/>
      <c r="S28" s="109"/>
      <c r="T28" s="14"/>
      <c r="U28" s="1"/>
      <c r="V28" s="1"/>
      <c r="W28" s="1"/>
      <c r="X28" s="1"/>
      <c r="Y28" s="1"/>
      <c r="Z28" s="1"/>
      <c r="AA28" s="1"/>
      <c r="AB28" s="1"/>
      <c r="AC28" s="1"/>
      <c r="AD28" s="1"/>
      <c r="AE28" s="13"/>
      <c r="AF28" s="1"/>
      <c r="AG28" s="1"/>
      <c r="AH28" s="1"/>
    </row>
    <row r="29" spans="2:34">
      <c r="B29" s="40"/>
      <c r="C29" s="40"/>
      <c r="D29" s="551" t="str">
        <f>IFERROR(IF('Mon Entreprise'!K8="","Vous ne pouvez pas bénéficier du fonds de solidarité pour le mois de Septembre 2020",IF(AB29="NON","Vous avez débuté votre activité après le 31 Août 2020, vous ne pouvez donc pas bénéficier de cette aide pour le mois de Septembre",IF(AB31="Non","Vous n'avez pas eu de fermeture administrative en septembre, vous ne pouvez donc pas bénéficier de cette aide pour le mois de Septembre",IF(AB32&gt;Annexes!O7*(Annexes!M4-1),"Dans votre cas, l'aide est Plafonnée sur 333 €/jour, soit "&amp;Annexes!O7*(Annexes!M4-1)&amp;" €, pour le mois de septembre","Vous pouvez bénéficier, au titre de cette aide, d'un montant de "&amp;ROUND(IF(AB32&lt;0,0,AB32),0)&amp;" € pour le mois de septembre")))),"Vous n'avez pas indiqué de chiffre d'affaires de référence")</f>
        <v>Vous ne pouvez pas bénéficier du fonds de solidarité pour le mois de Septembre 2020</v>
      </c>
      <c r="E29" s="552"/>
      <c r="F29" s="552"/>
      <c r="G29" s="552"/>
      <c r="H29" s="552"/>
      <c r="I29" s="552"/>
      <c r="J29" s="552"/>
      <c r="K29" s="552"/>
      <c r="L29" s="552"/>
      <c r="M29" s="552"/>
      <c r="N29" s="552"/>
      <c r="O29" s="553"/>
      <c r="S29" s="109"/>
      <c r="T29" s="14"/>
      <c r="U29" s="506" t="s">
        <v>72</v>
      </c>
      <c r="V29" s="506"/>
      <c r="W29" s="506"/>
      <c r="X29" s="506"/>
      <c r="Y29" s="506"/>
      <c r="Z29" s="129"/>
      <c r="AA29" s="14"/>
      <c r="AB29" s="118" t="str">
        <f>IF('Mon Entreprise'!K8&lt;=Annexes!Q23,"Oui","Non")</f>
        <v>Oui</v>
      </c>
      <c r="AC29" s="1"/>
      <c r="AD29" s="1"/>
      <c r="AE29" s="13"/>
      <c r="AF29" s="1"/>
      <c r="AG29" s="1"/>
      <c r="AH29" s="1"/>
    </row>
    <row r="30" spans="2:34" ht="15" customHeight="1">
      <c r="B30" s="1"/>
      <c r="C30" s="1"/>
      <c r="D30" s="554"/>
      <c r="E30" s="496"/>
      <c r="F30" s="496"/>
      <c r="G30" s="496"/>
      <c r="H30" s="496"/>
      <c r="I30" s="496"/>
      <c r="J30" s="496"/>
      <c r="K30" s="496"/>
      <c r="L30" s="496"/>
      <c r="M30" s="496"/>
      <c r="N30" s="496"/>
      <c r="O30" s="555"/>
      <c r="P30" s="1"/>
      <c r="Q30" s="1"/>
      <c r="R30" s="1"/>
      <c r="S30" s="109"/>
      <c r="T30" s="14"/>
      <c r="U30" s="490" t="s">
        <v>78</v>
      </c>
      <c r="V30" s="490"/>
      <c r="W30" s="490"/>
      <c r="X30" s="490"/>
      <c r="Y30" s="490"/>
      <c r="Z30" s="118"/>
      <c r="AA30" s="14"/>
      <c r="AB30" s="118">
        <f>IF(Annexes!M9=FALSE,0,IF(Annexes!M4=1,0,Annexes!M4-1))</f>
        <v>0</v>
      </c>
      <c r="AC30" s="1"/>
      <c r="AD30" s="1"/>
      <c r="AE30" s="13"/>
      <c r="AF30" s="1"/>
      <c r="AG30" s="1"/>
      <c r="AH30" s="1"/>
    </row>
    <row r="31" spans="2:34" ht="15" customHeight="1">
      <c r="B31" s="1"/>
      <c r="C31" s="1"/>
      <c r="D31" s="554"/>
      <c r="E31" s="496"/>
      <c r="F31" s="496"/>
      <c r="G31" s="496"/>
      <c r="H31" s="496"/>
      <c r="I31" s="496"/>
      <c r="J31" s="496"/>
      <c r="K31" s="496"/>
      <c r="L31" s="496"/>
      <c r="M31" s="496"/>
      <c r="N31" s="496"/>
      <c r="O31" s="555"/>
      <c r="P31" s="1"/>
      <c r="Q31" s="1"/>
      <c r="R31" s="1"/>
      <c r="S31" s="1"/>
      <c r="T31" s="14"/>
      <c r="U31" s="490" t="s">
        <v>79</v>
      </c>
      <c r="V31" s="490"/>
      <c r="W31" s="490"/>
      <c r="X31" s="490"/>
      <c r="Y31" s="490"/>
      <c r="Z31" s="118"/>
      <c r="AA31" s="14"/>
      <c r="AB31" s="118" t="str">
        <f>IF(Annexes!M9=FALSE,"Non",IF(Annexes!M4=1,"Non","Oui"))</f>
        <v>Non</v>
      </c>
      <c r="AC31" s="1"/>
      <c r="AD31" s="1"/>
      <c r="AE31" s="13"/>
      <c r="AF31" s="1"/>
      <c r="AG31" s="1"/>
      <c r="AH31" s="1"/>
    </row>
    <row r="32" spans="2:34" ht="15" customHeight="1">
      <c r="B32" s="1"/>
      <c r="C32" s="1"/>
      <c r="D32" s="554"/>
      <c r="E32" s="496"/>
      <c r="F32" s="496"/>
      <c r="G32" s="496"/>
      <c r="H32" s="496"/>
      <c r="I32" s="496"/>
      <c r="J32" s="496"/>
      <c r="K32" s="496"/>
      <c r="L32" s="496"/>
      <c r="M32" s="496"/>
      <c r="N32" s="496"/>
      <c r="O32" s="555"/>
      <c r="P32" s="1"/>
      <c r="Q32" s="1"/>
      <c r="R32" s="1"/>
      <c r="S32" s="1"/>
      <c r="T32" s="14"/>
      <c r="U32" s="490" t="s">
        <v>89</v>
      </c>
      <c r="V32" s="490"/>
      <c r="W32" s="490"/>
      <c r="X32" s="490"/>
      <c r="Y32" s="490"/>
      <c r="Z32" s="130"/>
      <c r="AA32" s="14"/>
      <c r="AB32" s="118">
        <f>IF('Mon Entreprise'!K8&gt;=Annexes!O20,IF(AB24&gt;=AB26,AB24,AB26),IF(AB24&gt;=AB25,AB24,AB25))</f>
        <v>0</v>
      </c>
      <c r="AC32" s="1"/>
      <c r="AD32" s="1"/>
      <c r="AE32" s="13"/>
      <c r="AF32" s="1"/>
      <c r="AG32" s="1"/>
      <c r="AH32" s="1"/>
    </row>
    <row r="33" spans="2:34" ht="15.75" thickBot="1">
      <c r="B33" s="1"/>
      <c r="C33" s="1"/>
      <c r="D33" s="556"/>
      <c r="E33" s="557"/>
      <c r="F33" s="557"/>
      <c r="G33" s="557"/>
      <c r="H33" s="557"/>
      <c r="I33" s="557"/>
      <c r="J33" s="557"/>
      <c r="K33" s="557"/>
      <c r="L33" s="557"/>
      <c r="M33" s="557"/>
      <c r="N33" s="557"/>
      <c r="O33" s="558"/>
      <c r="P33" s="1"/>
      <c r="Q33" s="1"/>
      <c r="R33" s="1"/>
      <c r="S33" s="1"/>
      <c r="T33" s="14"/>
      <c r="U33" s="1"/>
      <c r="V33" s="1"/>
      <c r="W33" s="1"/>
      <c r="X33" s="1"/>
      <c r="Y33" s="1"/>
      <c r="Z33" s="1"/>
      <c r="AA33" s="1"/>
      <c r="AB33" s="1"/>
      <c r="AC33" s="1"/>
      <c r="AD33" s="1"/>
      <c r="AE33" s="13"/>
      <c r="AF33" s="1"/>
      <c r="AG33" s="1"/>
      <c r="AH33" s="1"/>
    </row>
    <row r="34" spans="2:34">
      <c r="B34" s="1"/>
      <c r="C34" s="1"/>
      <c r="D34" s="55" t="s">
        <v>83</v>
      </c>
      <c r="E34" s="1"/>
      <c r="F34" s="1"/>
      <c r="G34" s="1"/>
      <c r="H34" s="1"/>
      <c r="I34" s="1"/>
      <c r="J34" s="1"/>
      <c r="K34" s="1"/>
      <c r="L34" s="5"/>
      <c r="M34" s="1"/>
      <c r="N34" s="1"/>
      <c r="O34" s="1"/>
      <c r="P34" s="1"/>
      <c r="Q34" s="1"/>
      <c r="R34" s="1"/>
      <c r="S34" s="1"/>
      <c r="T34" s="14"/>
      <c r="U34" s="1"/>
      <c r="V34" s="1"/>
      <c r="W34" s="1"/>
      <c r="X34" s="1"/>
      <c r="Y34" s="1"/>
      <c r="Z34" s="1"/>
      <c r="AA34" s="1"/>
      <c r="AB34" s="1"/>
      <c r="AC34" s="1"/>
      <c r="AD34" s="1"/>
      <c r="AE34" s="13"/>
      <c r="AF34" s="1"/>
      <c r="AG34" s="1"/>
      <c r="AH34" s="1"/>
    </row>
    <row r="35" spans="2:34">
      <c r="B35" s="8"/>
      <c r="C35" s="8"/>
      <c r="D35" s="8"/>
      <c r="K35" s="6"/>
      <c r="O35" s="1"/>
      <c r="P35" s="7"/>
      <c r="Q35" s="7"/>
      <c r="R35" s="7"/>
      <c r="S35" s="1"/>
      <c r="T35" s="14"/>
      <c r="U35" s="1"/>
      <c r="V35" s="1"/>
      <c r="W35" s="1"/>
      <c r="X35" s="1"/>
      <c r="Y35" s="1"/>
      <c r="Z35" s="1"/>
      <c r="AA35" s="1"/>
      <c r="AB35" s="1"/>
      <c r="AC35" s="1"/>
      <c r="AD35" s="1"/>
      <c r="AE35" s="13"/>
      <c r="AF35" s="1"/>
      <c r="AG35" s="1"/>
      <c r="AH35" s="1"/>
    </row>
    <row r="36" spans="2:34" ht="15" customHeight="1">
      <c r="B36" s="5"/>
      <c r="C36" s="5"/>
      <c r="D36" s="5"/>
      <c r="O36" s="1"/>
      <c r="P36" s="1"/>
      <c r="Q36" s="1"/>
      <c r="R36" s="1"/>
      <c r="S36" s="1"/>
      <c r="T36" s="14"/>
      <c r="U36" s="1"/>
      <c r="V36" s="1"/>
      <c r="W36" s="1"/>
      <c r="X36" s="1"/>
      <c r="Y36" s="1"/>
      <c r="Z36" s="1"/>
      <c r="AA36" s="1"/>
      <c r="AB36" s="1"/>
      <c r="AC36" s="1"/>
      <c r="AD36" s="1"/>
      <c r="AE36" s="13"/>
      <c r="AF36" s="1"/>
      <c r="AG36" s="1"/>
      <c r="AH36" s="1"/>
    </row>
    <row r="37" spans="2:34" ht="16.5" thickBot="1">
      <c r="B37" s="222"/>
      <c r="C37" s="488" t="s">
        <v>31</v>
      </c>
      <c r="D37" s="488"/>
      <c r="E37" s="488"/>
      <c r="F37" s="488"/>
      <c r="G37" s="488"/>
      <c r="H37" s="488"/>
      <c r="I37" s="222"/>
      <c r="J37" s="222"/>
      <c r="K37" s="222"/>
      <c r="L37" s="222"/>
      <c r="M37" s="222"/>
      <c r="N37" s="222"/>
      <c r="O37" s="222"/>
      <c r="Q37" s="99"/>
      <c r="S37" s="1"/>
      <c r="T37" s="15"/>
      <c r="U37" s="10"/>
      <c r="V37" s="10"/>
      <c r="W37" s="10"/>
      <c r="X37" s="10"/>
      <c r="Y37" s="10"/>
      <c r="Z37" s="10"/>
      <c r="AA37" s="10"/>
      <c r="AB37" s="10"/>
      <c r="AC37" s="10"/>
      <c r="AD37" s="10"/>
      <c r="AE37" s="4"/>
      <c r="AF37" s="1"/>
      <c r="AG37" s="1"/>
      <c r="AH37" s="1"/>
    </row>
    <row r="38" spans="2:34">
      <c r="B38" s="44"/>
      <c r="C38" s="40"/>
      <c r="D38" s="40"/>
      <c r="E38" s="40"/>
      <c r="F38" s="40"/>
      <c r="G38" s="40"/>
      <c r="H38" s="113"/>
      <c r="I38" s="44"/>
      <c r="J38" s="44"/>
      <c r="K38" s="44"/>
      <c r="L38" s="44"/>
      <c r="M38" s="44"/>
      <c r="N38" s="44"/>
      <c r="O38" s="44"/>
      <c r="P38" s="1"/>
      <c r="Q38" s="1"/>
      <c r="R38" s="1"/>
      <c r="S38" s="1"/>
      <c r="T38" s="16"/>
      <c r="U38" s="11"/>
      <c r="V38" s="11"/>
      <c r="W38" s="11"/>
      <c r="X38" s="11"/>
      <c r="Y38" s="11"/>
      <c r="Z38" s="11"/>
      <c r="AA38" s="11"/>
      <c r="AB38" s="11"/>
      <c r="AC38" s="11"/>
      <c r="AD38" s="11"/>
      <c r="AE38" s="12"/>
      <c r="AF38" s="1"/>
      <c r="AG38" s="1"/>
      <c r="AH38" s="1"/>
    </row>
    <row r="39" spans="2:34">
      <c r="B39" s="40"/>
      <c r="C39" s="60" t="s">
        <v>97</v>
      </c>
      <c r="D39" s="40"/>
      <c r="E39" s="40"/>
      <c r="F39" s="40"/>
      <c r="G39" s="40"/>
      <c r="H39" s="40"/>
      <c r="I39" s="40"/>
      <c r="J39" s="40"/>
      <c r="K39" s="40"/>
      <c r="L39" s="40"/>
      <c r="M39" s="40"/>
      <c r="N39" s="40"/>
      <c r="O39" s="40"/>
      <c r="T39" s="25"/>
      <c r="U39" s="1"/>
      <c r="V39" s="1"/>
      <c r="W39" s="1"/>
      <c r="X39" s="1"/>
      <c r="Y39" s="1"/>
      <c r="Z39" s="1"/>
      <c r="AA39" s="1"/>
      <c r="AB39" s="1"/>
      <c r="AC39" s="1"/>
      <c r="AD39" s="1"/>
      <c r="AE39" s="13"/>
    </row>
    <row r="40" spans="2:34">
      <c r="B40" s="40"/>
      <c r="C40" s="60"/>
      <c r="D40" s="121" t="s">
        <v>26</v>
      </c>
      <c r="E40" s="40"/>
      <c r="F40" s="40"/>
      <c r="G40" s="40"/>
      <c r="H40" s="40"/>
      <c r="I40" s="40"/>
      <c r="J40" s="40"/>
      <c r="K40" s="40"/>
      <c r="L40" s="40"/>
      <c r="M40" s="40"/>
      <c r="N40" s="40"/>
      <c r="O40" s="40"/>
      <c r="T40" s="25"/>
      <c r="U40" s="490" t="s">
        <v>20</v>
      </c>
      <c r="V40" s="490"/>
      <c r="W40" s="490"/>
      <c r="X40" s="1"/>
      <c r="Y40" s="117" t="s">
        <v>6</v>
      </c>
      <c r="Z40" s="117"/>
      <c r="AA40" s="117"/>
      <c r="AB40" s="117" t="s">
        <v>23</v>
      </c>
      <c r="AC40" s="117"/>
      <c r="AD40" s="117"/>
      <c r="AE40" s="26" t="s">
        <v>24</v>
      </c>
    </row>
    <row r="41" spans="2:34" ht="15.75" thickBot="1">
      <c r="B41" s="40"/>
      <c r="C41" s="60"/>
      <c r="D41" s="40"/>
      <c r="E41" s="40"/>
      <c r="F41" s="40"/>
      <c r="G41" s="40"/>
      <c r="H41" s="40"/>
      <c r="I41" s="40"/>
      <c r="J41" s="40"/>
      <c r="K41" s="40"/>
      <c r="L41" s="40"/>
      <c r="M41" s="40"/>
      <c r="N41" s="40"/>
      <c r="O41" s="40"/>
      <c r="T41" s="25"/>
      <c r="U41" s="117"/>
      <c r="V41" s="117"/>
      <c r="W41" s="117"/>
      <c r="X41" s="1"/>
      <c r="Y41" s="117"/>
      <c r="Z41" s="117"/>
      <c r="AA41" s="117"/>
      <c r="AB41" s="117"/>
      <c r="AC41" s="117"/>
      <c r="AD41" s="117"/>
      <c r="AE41" s="26"/>
    </row>
    <row r="42" spans="2:34">
      <c r="B42" s="40"/>
      <c r="C42" s="40"/>
      <c r="D42" s="551" t="str">
        <f>IFERROR(IF(AND(AB60=0,AB61=0,AB62=0),"Vous ne pouvez pas bénéficier du fonds de solidarité pour le mois d'Octobre 2020",IF(AND(AB60&gt;AB61,AB60&gt;AB62),"Votre entreprise peut bénéficier d'une aide de "&amp;AB60&amp;" €, au titre des entreprises domiciliées dans des zones ayant subi des mesures de couvre-feu avec une perte de CA d'au-moins 50 % du CA en Octobre",IF(AB61&gt;AB62,"Votre entreprise peut bénéficier d'une aide de "&amp;AB61&amp;" €, au titre des entreprises domiciliées hors des zones ayant subi des mesures de couvre-feu avec une perte de CA d'au-moins "&amp;IF(AB52&gt;=0.7,70,50)&amp;" % du CA en Octobre","Votre entreprise peut bénéficier d'une aide de "&amp;AB62&amp;" €, au titre d'une fermeture Administrative au mois d'octobre"))),"Vous n'avez pas indiqué de chiffre d'affaires de référence")</f>
        <v>Vous ne pouvez pas bénéficier du fonds de solidarité pour le mois d'Octobre 2020</v>
      </c>
      <c r="E42" s="552"/>
      <c r="F42" s="552"/>
      <c r="G42" s="552"/>
      <c r="H42" s="552"/>
      <c r="I42" s="552"/>
      <c r="J42" s="552"/>
      <c r="K42" s="552"/>
      <c r="L42" s="552"/>
      <c r="M42" s="552"/>
      <c r="N42" s="552"/>
      <c r="O42" s="553"/>
      <c r="T42" s="491" t="s">
        <v>27</v>
      </c>
      <c r="U42" s="490"/>
      <c r="V42" s="490"/>
      <c r="W42" s="490"/>
      <c r="X42" s="1"/>
      <c r="Y42" s="7">
        <f>'Mon Entreprise'!I112</f>
        <v>0</v>
      </c>
      <c r="Z42" s="21"/>
      <c r="AA42" s="22"/>
      <c r="AB42" s="7">
        <f>IF('Mon Entreprise'!I112-'Mon Entreprise'!M112&lt;0,0,'Mon Entreprise'!I112-'Mon Entreprise'!M112)</f>
        <v>0</v>
      </c>
      <c r="AC42" s="1"/>
      <c r="AD42" s="14"/>
      <c r="AE42" s="27">
        <f>IFERROR(1-'Mon Entreprise'!M112/'Mon Entreprise'!I112,0)</f>
        <v>0</v>
      </c>
    </row>
    <row r="43" spans="2:34" ht="15" customHeight="1">
      <c r="D43" s="554"/>
      <c r="E43" s="496"/>
      <c r="F43" s="496"/>
      <c r="G43" s="496"/>
      <c r="H43" s="496"/>
      <c r="I43" s="496"/>
      <c r="J43" s="496"/>
      <c r="K43" s="496"/>
      <c r="L43" s="496"/>
      <c r="M43" s="496"/>
      <c r="N43" s="496"/>
      <c r="O43" s="555"/>
      <c r="T43" s="491" t="s">
        <v>25</v>
      </c>
      <c r="U43" s="490"/>
      <c r="V43" s="490"/>
      <c r="W43" s="490"/>
      <c r="X43" s="1"/>
      <c r="Y43" s="7">
        <f>'Mon Entreprise'!I98</f>
        <v>0</v>
      </c>
      <c r="Z43" s="21"/>
      <c r="AA43" s="22"/>
      <c r="AB43" s="7">
        <f>IF('Mon Entreprise'!I98-'Mon Entreprise'!M112&lt;0,0,'Mon Entreprise'!I98-'Mon Entreprise'!M112)</f>
        <v>0</v>
      </c>
      <c r="AC43" s="7"/>
      <c r="AD43" s="14"/>
      <c r="AE43" s="27">
        <f>IFERROR(1-'Mon Entreprise'!M112/'Mon Entreprise'!I98,0)</f>
        <v>0</v>
      </c>
    </row>
    <row r="44" spans="2:34" ht="15" customHeight="1">
      <c r="C44" s="104"/>
      <c r="D44" s="554"/>
      <c r="E44" s="496"/>
      <c r="F44" s="496"/>
      <c r="G44" s="496"/>
      <c r="H44" s="496"/>
      <c r="I44" s="496"/>
      <c r="J44" s="496"/>
      <c r="K44" s="496"/>
      <c r="L44" s="496"/>
      <c r="M44" s="496"/>
      <c r="N44" s="496"/>
      <c r="O44" s="555"/>
      <c r="Q44" s="99"/>
      <c r="R44" s="99"/>
      <c r="S44" s="99"/>
      <c r="T44" s="501" t="s">
        <v>22</v>
      </c>
      <c r="U44" s="502"/>
      <c r="V44" s="502"/>
      <c r="W44" s="502"/>
      <c r="X44" s="139"/>
      <c r="Y44" s="140" t="str">
        <f>IF('Mon Entreprise'!I176="","NC",'Mon Entreprise'!I176)</f>
        <v>NC</v>
      </c>
      <c r="Z44" s="141"/>
      <c r="AA44" s="142"/>
      <c r="AB44" s="143" t="str">
        <f>IFERROR(IF('Mon Entreprise'!I176-'Mon Entreprise'!M112&lt;0,0,'Mon Entreprise'!I176-'Mon Entreprise'!M112),"NC")</f>
        <v>NC</v>
      </c>
      <c r="AC44" s="144"/>
      <c r="AD44" s="145"/>
      <c r="AE44" s="146" t="str">
        <f>IFERROR(1-'Mon Entreprise'!M112/'Mon Entreprise'!I176,"NC")</f>
        <v>NC</v>
      </c>
      <c r="AF44" s="99"/>
    </row>
    <row r="45" spans="2:34" ht="15" customHeight="1">
      <c r="C45" s="104"/>
      <c r="D45" s="554"/>
      <c r="E45" s="496"/>
      <c r="F45" s="496"/>
      <c r="G45" s="496"/>
      <c r="H45" s="496"/>
      <c r="I45" s="496"/>
      <c r="J45" s="496"/>
      <c r="K45" s="496"/>
      <c r="L45" s="496"/>
      <c r="M45" s="496"/>
      <c r="N45" s="496"/>
      <c r="O45" s="555"/>
      <c r="T45" s="14"/>
      <c r="U45" s="1"/>
      <c r="V45" s="1"/>
      <c r="W45" s="1"/>
      <c r="X45" s="1"/>
      <c r="Y45" s="1"/>
      <c r="Z45" s="1"/>
      <c r="AA45" s="1"/>
      <c r="AB45" s="1"/>
      <c r="AC45" s="1"/>
      <c r="AD45" s="1"/>
      <c r="AE45" s="13"/>
    </row>
    <row r="46" spans="2:34" ht="15.75" customHeight="1" thickBot="1">
      <c r="C46" s="104"/>
      <c r="D46" s="556"/>
      <c r="E46" s="557"/>
      <c r="F46" s="557"/>
      <c r="G46" s="557"/>
      <c r="H46" s="557"/>
      <c r="I46" s="557"/>
      <c r="J46" s="557"/>
      <c r="K46" s="557"/>
      <c r="L46" s="557"/>
      <c r="M46" s="557"/>
      <c r="N46" s="557"/>
      <c r="O46" s="558"/>
      <c r="T46" s="537" t="s">
        <v>4</v>
      </c>
      <c r="U46" s="506"/>
      <c r="V46" s="506"/>
      <c r="W46" s="506"/>
      <c r="X46" s="506"/>
      <c r="Y46" s="506"/>
      <c r="Z46" s="124"/>
      <c r="AA46" s="14"/>
      <c r="AB46" s="19">
        <f>IFERROR(IF('Mon Entreprise'!K8&lt;Annexes!O17,IF(1-'Mon Entreprise'!M118/'Mon Entreprise'!I118&gt;=1-'Mon Entreprise'!M118/('Mon Entreprise'!I98*2),1-'Mon Entreprise'!M118/'Mon Entreprise'!I118,1-'Mon Entreprise'!M118/('Mon Entreprise'!I98*2)),1-'Mon Entreprise'!M118/'Mon Entreprise'!I190),0)</f>
        <v>0</v>
      </c>
      <c r="AC46" s="1"/>
      <c r="AD46" s="1"/>
      <c r="AE46" s="13"/>
    </row>
    <row r="47" spans="2:34" ht="18.75" hidden="1" customHeight="1">
      <c r="C47" s="80"/>
      <c r="D47" s="80"/>
      <c r="E47" s="80"/>
      <c r="F47" s="80"/>
      <c r="G47" s="80"/>
      <c r="H47" s="80"/>
      <c r="I47" s="80"/>
      <c r="J47" s="80"/>
      <c r="K47" s="80"/>
      <c r="L47" s="80"/>
      <c r="M47" s="80"/>
      <c r="N47" s="80"/>
      <c r="O47" s="80"/>
      <c r="T47" s="14"/>
      <c r="U47" s="506" t="s">
        <v>8</v>
      </c>
      <c r="V47" s="506"/>
      <c r="W47" s="506"/>
      <c r="X47" s="506"/>
      <c r="Y47" s="506"/>
      <c r="Z47" s="124"/>
      <c r="AA47" s="14"/>
      <c r="AB47" s="178" t="str">
        <f>IF((AND(Annexes!F5&gt;1,Annexes!F5&lt;=Annexes!H6)),"OUI","NON")</f>
        <v>NON</v>
      </c>
      <c r="AC47" s="1"/>
      <c r="AD47" s="1"/>
      <c r="AE47" s="13"/>
    </row>
    <row r="48" spans="2:34" ht="15" hidden="1" customHeight="1">
      <c r="T48" s="14"/>
      <c r="U48" s="562" t="s">
        <v>9</v>
      </c>
      <c r="V48" s="562"/>
      <c r="W48" s="562"/>
      <c r="X48" s="562"/>
      <c r="Y48" s="562"/>
      <c r="Z48" s="125"/>
      <c r="AA48" s="14"/>
      <c r="AB48" s="178" t="str">
        <f>IF((AND(Annexes!F7&gt;1,Annexes!F7&lt;=Annexes!H8)),"OUI","NON")</f>
        <v>NON</v>
      </c>
      <c r="AC48" s="1"/>
      <c r="AD48" s="1"/>
      <c r="AE48" s="13"/>
    </row>
    <row r="49" spans="3:31" ht="15" hidden="1" customHeight="1">
      <c r="C49" s="559" t="s">
        <v>400</v>
      </c>
      <c r="D49" s="559"/>
      <c r="E49" s="559"/>
      <c r="F49" s="559"/>
      <c r="G49" s="559"/>
      <c r="H49" s="559"/>
      <c r="I49" s="559"/>
      <c r="J49" s="559"/>
      <c r="K49" s="559"/>
      <c r="L49" s="559"/>
      <c r="M49" s="559"/>
      <c r="N49" s="559"/>
      <c r="O49" s="559"/>
      <c r="T49" s="14"/>
      <c r="U49" s="506" t="s">
        <v>71</v>
      </c>
      <c r="V49" s="506"/>
      <c r="W49" s="506"/>
      <c r="X49" s="506"/>
      <c r="Y49" s="506"/>
      <c r="Z49" s="124"/>
      <c r="AA49" s="14"/>
      <c r="AB49" s="178">
        <f>IF(AB47="OUI",Annexes!O6,IF(AND(AB48="OUI",AB46&gt;=0.8),Annexes!O6,Annexes!O5))</f>
        <v>1500</v>
      </c>
      <c r="AC49" s="1"/>
      <c r="AD49" s="1"/>
      <c r="AE49" s="13"/>
    </row>
    <row r="50" spans="3:31" ht="15" hidden="1" customHeight="1">
      <c r="C50" s="559"/>
      <c r="D50" s="559"/>
      <c r="E50" s="559"/>
      <c r="F50" s="559"/>
      <c r="G50" s="559"/>
      <c r="H50" s="559"/>
      <c r="I50" s="559"/>
      <c r="J50" s="559"/>
      <c r="K50" s="559"/>
      <c r="L50" s="559"/>
      <c r="M50" s="559"/>
      <c r="N50" s="559"/>
      <c r="O50" s="559"/>
      <c r="T50" s="14"/>
      <c r="U50" s="506" t="s">
        <v>72</v>
      </c>
      <c r="V50" s="506"/>
      <c r="W50" s="506"/>
      <c r="X50" s="506"/>
      <c r="Y50" s="506"/>
      <c r="Z50" s="124"/>
      <c r="AA50" s="14"/>
      <c r="AB50" s="178" t="str">
        <f>IF('Mon Entreprise'!K8&lt;=Annexes!Q24,"Oui","Non")</f>
        <v>Oui</v>
      </c>
      <c r="AC50" s="1"/>
      <c r="AD50" s="1"/>
      <c r="AE50" s="13"/>
    </row>
    <row r="51" spans="3:31" ht="15" hidden="1" customHeight="1">
      <c r="C51" s="58"/>
      <c r="D51" s="121" t="str">
        <f>IF(Annexes!M13=FALSE,"- L'entreprise ne semble pas avoir été impactée par le couvre-Feu de 21H à 6H","- L'entreprise a été impactée par le couvre-Feu de 21H à 6H")</f>
        <v>- L'entreprise ne semble pas avoir été impactée par le couvre-Feu de 21H à 6H</v>
      </c>
      <c r="E51" s="59"/>
      <c r="F51" s="59"/>
      <c r="G51" s="59"/>
      <c r="H51" s="59"/>
      <c r="I51" s="59"/>
      <c r="J51" s="59"/>
      <c r="K51" s="59"/>
      <c r="L51" s="59"/>
      <c r="M51" s="121"/>
      <c r="N51" s="121"/>
      <c r="O51" s="121"/>
      <c r="T51" s="14"/>
      <c r="U51" s="506" t="s">
        <v>84</v>
      </c>
      <c r="V51" s="506"/>
      <c r="W51" s="506"/>
      <c r="X51" s="506"/>
      <c r="Y51" s="506"/>
      <c r="Z51" s="124"/>
      <c r="AA51" s="14"/>
      <c r="AB51" s="178">
        <f>IF('Mon Entreprise'!K8&gt;=Annexes!O20,IF(AB42&gt;=AB44,AB42,AB44),IF(AB42&gt;=AB43,AB42,AB43))</f>
        <v>0</v>
      </c>
      <c r="AC51" s="1"/>
      <c r="AD51" s="1"/>
      <c r="AE51" s="13"/>
    </row>
    <row r="52" spans="3:31" ht="15" hidden="1" customHeight="1">
      <c r="C52" s="58"/>
      <c r="D52" s="560" t="str">
        <f>IF(AB47="OUI","- L'entreprise est mentionnée en annexe 1 (S1) du décret 2020-1328, et peut bénéficier à ce titre d'une aide plafonné à 10 000 €",IF(AND(AB48="OUI",AB46&gt;=0.8),"- L'entreprise est mentionnée en annexe 2 (S1 bis) du décret 2020-1328 ayant subi une perte de CA d'au moins 80 % entre le 15/03/2020 et le 15/05/2020, l'entreprise peut bénéficier à ce titre d'une aide plafonné à 10 000 €","- L'entreprise n'est pas mentionnée en annexe 1 (S1) ou en annexe 2 (S1 bis) du décret 2020-1328 et ayant subi une perte de CA d'au moins 80 % entre le 15/03/2020 et le 15/05/2020, l'entreprise peut donc bénéficier d'une aide plafonné à 1 500 €"))</f>
        <v>- L'entreprise n'est pas mentionnée en annexe 1 (S1) ou en annexe 2 (S1 bis) du décret 2020-1328 et ayant subi une perte de CA d'au moins 80 % entre le 15/03/2020 et le 15/05/2020, l'entreprise peut donc bénéficier d'une aide plafonné à 1 500 €</v>
      </c>
      <c r="E52" s="560"/>
      <c r="F52" s="560"/>
      <c r="G52" s="560"/>
      <c r="H52" s="560"/>
      <c r="I52" s="560"/>
      <c r="J52" s="560"/>
      <c r="K52" s="560"/>
      <c r="L52" s="560"/>
      <c r="M52" s="560"/>
      <c r="N52" s="560"/>
      <c r="O52" s="560"/>
      <c r="T52" s="14"/>
      <c r="U52" s="506" t="s">
        <v>85</v>
      </c>
      <c r="V52" s="506"/>
      <c r="W52" s="506"/>
      <c r="X52" s="506"/>
      <c r="Y52" s="506"/>
      <c r="Z52" s="124"/>
      <c r="AA52" s="14"/>
      <c r="AB52" s="19">
        <f>IF('Mon Entreprise'!K8&gt;=Annexes!O20,IF(AB42&gt;=AB44,AE42,AE44),IF(AB42&gt;=AB43,AE42,AE43))</f>
        <v>0</v>
      </c>
      <c r="AC52" s="1"/>
      <c r="AD52" s="1"/>
      <c r="AE52" s="13"/>
    </row>
    <row r="53" spans="3:31" ht="15" hidden="1" customHeight="1">
      <c r="C53" s="58"/>
      <c r="D53" s="560"/>
      <c r="E53" s="560"/>
      <c r="F53" s="560"/>
      <c r="G53" s="560"/>
      <c r="H53" s="560"/>
      <c r="I53" s="560"/>
      <c r="J53" s="560"/>
      <c r="K53" s="560"/>
      <c r="L53" s="560"/>
      <c r="M53" s="560"/>
      <c r="N53" s="560"/>
      <c r="O53" s="560"/>
      <c r="T53" s="14"/>
      <c r="U53" s="506" t="s">
        <v>73</v>
      </c>
      <c r="V53" s="506"/>
      <c r="W53" s="506"/>
      <c r="X53" s="506"/>
      <c r="Y53" s="506"/>
      <c r="Z53" s="124"/>
      <c r="AA53" s="14"/>
      <c r="AB53" s="178">
        <f>IF(AB52&gt;=0.7,IF(AB47="OUI",Annexes!O6,IF(AND(AB48="OUI",AB46&gt;=0.8),Annexes!O6,0)),IF(AB52&gt;=0.5,IF(AB47="OUI",Annexes!O5,IF(AND(AB48="OUI",AB46&gt;=0.8),Annexes!O5,0)),0))</f>
        <v>0</v>
      </c>
      <c r="AC53" s="1"/>
      <c r="AD53" s="1"/>
      <c r="AE53" s="13"/>
    </row>
    <row r="54" spans="3:31" ht="15" hidden="1" customHeight="1">
      <c r="C54" s="58"/>
      <c r="D54" s="121" t="str">
        <f>IFERROR(IF('Mon Entreprise'!K8&gt;=Annexes!O20,IF(AB42&gt;=AB44,"- Le CA de référence est celui d'octobre 2019, soit une perte de "&amp;ROUND(AB42,0)&amp;" €"&amp;" ==&gt; "&amp;ROUND(AE42*100,0)&amp;" %","- Le CA de référence est celui de la création, soit une perte de "&amp;ROUND(AB44,0)&amp;" €"&amp;" ==&gt; "&amp;ROUND(AE44*100,0)&amp;" %"),IF(AE42&gt;=AE43,"- Le CA de référence est celui de Octobre 2019, soit une perte de "&amp;ROUND(AB42,0)&amp;" €"&amp;" ==&gt; "&amp;ROUND(AE42*100,0)&amp;" %","- Le CA de référence est celui de l'exercice 2019, soit une perte de "&amp;ROUND(AB43,0)&amp;" €"&amp;" ==&gt; "&amp;ROUND(AE43*100,0)&amp;" %")),"")</f>
        <v>- Le CA de référence est celui de Octobre 2019, soit une perte de 0 € ==&gt; 0 %</v>
      </c>
      <c r="E54" s="121"/>
      <c r="F54" s="121"/>
      <c r="G54" s="121"/>
      <c r="H54" s="121"/>
      <c r="I54" s="121"/>
      <c r="J54" s="121"/>
      <c r="K54" s="121"/>
      <c r="L54" s="121"/>
      <c r="M54" s="121"/>
      <c r="N54" s="121"/>
      <c r="O54" s="121"/>
      <c r="T54" s="14"/>
      <c r="U54" s="506" t="s">
        <v>74</v>
      </c>
      <c r="V54" s="506"/>
      <c r="W54" s="506"/>
      <c r="X54" s="506"/>
      <c r="Y54" s="506"/>
      <c r="Z54" s="124"/>
      <c r="AA54" s="14"/>
      <c r="AB54" s="178">
        <f>IF(AB52&gt;=0.7,IF(AB47="OUI",Annexes!P6,IF(AND(AB48="OUI",AB46&gt;=0.8),Annexes!P6,1)),1)</f>
        <v>1</v>
      </c>
      <c r="AC54" s="1"/>
      <c r="AD54" s="1"/>
      <c r="AE54" s="13"/>
    </row>
    <row r="55" spans="3:31" ht="15" hidden="1" customHeight="1" thickBot="1">
      <c r="C55" s="58"/>
      <c r="D55" s="58"/>
      <c r="E55" s="58"/>
      <c r="F55" s="58"/>
      <c r="G55" s="58"/>
      <c r="H55" s="58"/>
      <c r="I55" s="58"/>
      <c r="J55" s="58"/>
      <c r="K55" s="58"/>
      <c r="L55" s="58"/>
      <c r="M55" s="58"/>
      <c r="N55" s="58"/>
      <c r="O55" s="58"/>
      <c r="T55" s="14"/>
      <c r="U55" s="490" t="s">
        <v>80</v>
      </c>
      <c r="V55" s="490"/>
      <c r="W55" s="490"/>
      <c r="X55" s="490"/>
      <c r="Y55" s="490"/>
      <c r="Z55" s="1"/>
      <c r="AA55" s="14"/>
      <c r="AB55" s="178">
        <f>IF('Mon Entreprise'!K8&gt;=Annexes!O20,IF(AB42&gt;=AB44,Y42,Y44),IF(AB42&gt;=AB43,Y42,Y43))</f>
        <v>0</v>
      </c>
      <c r="AC55" s="1"/>
      <c r="AD55" s="1"/>
      <c r="AE55" s="13"/>
    </row>
    <row r="56" spans="3:31" ht="15.75" hidden="1" customHeight="1">
      <c r="D56" s="508" t="str">
        <f>IFERROR(IF(AB50="Non","Vous avez débuté votre activité après le 30 Septembre 2020, vous ne pouvez donc pas bénéficier de cette aide",IF(Annexes!M13=FALSE,"L'entreprise ne semble pas avoir été impactée par le couvre-Feu de 21H à 6H",IF(AB52&gt;=0.5,IF(AB49=Annexes!O6,IF(AB51&gt;=Annexes!O6,"Dans votre cas, l'aide est Plafonnée, à "&amp;Annexes!O6&amp;" € pour le mois d'octobre",IF(AB51=0,"Vous n'avez pas indiqué de CA de référence","Vous pouvez bénéficier, au titre de cette aide, d'un montant de "&amp;ROUND(AB51,0)&amp;" € pour le mois d'octobre")),IF(AB49=Annexes!O5,IF(AB51&gt;Annexes!O5,"Dans votre cas, l'aide est Plafonnée, à "&amp;Annexes!O5&amp;" € pour le mois d'octobre",IF(AB51=0,"Vous n'avez pas indiqué de CA de référence","Vous pouvez bénéficier, au titre de cette aide, d'un montant de "&amp;ROUND(AB51,0)&amp;" € pour le mois d'octobre.")),)),"L'entreprise n'a pas subi de perte d'au-moins 50 % sur son CA d'Octobre 2020"))),"Vous n'avez pas indiqué de chiffre d'affaires de référence")</f>
        <v>L'entreprise ne semble pas avoir été impactée par le couvre-Feu de 21H à 6H</v>
      </c>
      <c r="E56" s="509"/>
      <c r="F56" s="509"/>
      <c r="G56" s="509"/>
      <c r="H56" s="509"/>
      <c r="I56" s="509"/>
      <c r="J56" s="509"/>
      <c r="K56" s="509"/>
      <c r="L56" s="509"/>
      <c r="M56" s="509"/>
      <c r="N56" s="509"/>
      <c r="O56" s="510"/>
      <c r="T56" s="14"/>
      <c r="U56" s="490" t="s">
        <v>401</v>
      </c>
      <c r="V56" s="490"/>
      <c r="W56" s="490"/>
      <c r="X56" s="490"/>
      <c r="Y56" s="490"/>
      <c r="Z56" s="1"/>
      <c r="AA56" s="14"/>
      <c r="AB56" s="178">
        <f>IFERROR(IF(AB51&gt;AB55*AB54,IF(AND(AB51&gt;1500,1500&gt;AB55*AB54),1500,IF(1500&gt;AB51,AB51,AB55*AB54)),AB51),0)</f>
        <v>0</v>
      </c>
      <c r="AC56" s="1"/>
      <c r="AD56" s="1"/>
      <c r="AE56" s="13"/>
    </row>
    <row r="57" spans="3:31" ht="15" hidden="1" customHeight="1">
      <c r="D57" s="511"/>
      <c r="E57" s="512"/>
      <c r="F57" s="512"/>
      <c r="G57" s="512"/>
      <c r="H57" s="512"/>
      <c r="I57" s="512"/>
      <c r="J57" s="512"/>
      <c r="K57" s="512"/>
      <c r="L57" s="512"/>
      <c r="M57" s="512"/>
      <c r="N57" s="512"/>
      <c r="O57" s="513"/>
      <c r="T57" s="14"/>
      <c r="U57" s="1"/>
      <c r="V57" s="1"/>
      <c r="W57" s="1"/>
      <c r="X57" s="1"/>
      <c r="Y57" s="1"/>
      <c r="Z57" s="1"/>
      <c r="AA57" s="1"/>
      <c r="AB57" s="1"/>
      <c r="AC57" s="1"/>
      <c r="AD57" s="1"/>
      <c r="AE57" s="13"/>
    </row>
    <row r="58" spans="3:31" ht="15" hidden="1" customHeight="1">
      <c r="D58" s="511"/>
      <c r="E58" s="512"/>
      <c r="F58" s="512"/>
      <c r="G58" s="512"/>
      <c r="H58" s="512"/>
      <c r="I58" s="512"/>
      <c r="J58" s="512"/>
      <c r="K58" s="512"/>
      <c r="L58" s="512"/>
      <c r="M58" s="512"/>
      <c r="N58" s="512"/>
      <c r="O58" s="513"/>
      <c r="T58" s="14"/>
      <c r="U58" s="1"/>
      <c r="V58" s="1"/>
      <c r="W58" s="1"/>
      <c r="X58" s="1"/>
      <c r="Y58" s="1"/>
      <c r="Z58" s="1"/>
      <c r="AA58" s="1"/>
      <c r="AB58" s="1"/>
      <c r="AC58" s="1"/>
      <c r="AD58" s="1"/>
      <c r="AE58" s="13"/>
    </row>
    <row r="59" spans="3:31" ht="15" hidden="1" customHeight="1" thickBot="1">
      <c r="D59" s="514"/>
      <c r="E59" s="515"/>
      <c r="F59" s="515"/>
      <c r="G59" s="515"/>
      <c r="H59" s="515"/>
      <c r="I59" s="515"/>
      <c r="J59" s="515"/>
      <c r="K59" s="515"/>
      <c r="L59" s="515"/>
      <c r="M59" s="515"/>
      <c r="N59" s="515"/>
      <c r="O59" s="516"/>
      <c r="T59" s="14"/>
      <c r="U59" s="1"/>
      <c r="V59" s="1"/>
      <c r="W59" s="1"/>
      <c r="X59" s="1"/>
      <c r="Y59" s="1"/>
      <c r="Z59" s="1"/>
      <c r="AA59" s="1"/>
      <c r="AB59" s="1"/>
      <c r="AC59" s="1"/>
      <c r="AD59" s="1"/>
      <c r="AE59" s="13"/>
    </row>
    <row r="60" spans="3:31" ht="15.75" hidden="1" customHeight="1">
      <c r="C60" s="78"/>
      <c r="D60" s="78"/>
      <c r="E60" s="78"/>
      <c r="F60" s="78"/>
      <c r="G60" s="78"/>
      <c r="H60" s="78"/>
      <c r="I60" s="78"/>
      <c r="J60" s="78"/>
      <c r="K60" s="78"/>
      <c r="L60" s="78"/>
      <c r="M60" s="78"/>
      <c r="N60" s="78"/>
      <c r="O60" s="78"/>
      <c r="T60" s="14"/>
      <c r="U60" s="490" t="s">
        <v>75</v>
      </c>
      <c r="V60" s="490"/>
      <c r="W60" s="490"/>
      <c r="X60" s="490"/>
      <c r="Y60" s="490"/>
      <c r="Z60" s="1"/>
      <c r="AA60" s="14"/>
      <c r="AB60" s="1">
        <f>IFERROR(IF(AB50="Non",0,IF(Annexes!M13=FALSE,0,IF(AB52&gt;=0.5,IF(AB49=Annexes!O6,IF(AB51&gt;=Annexes!O6,Annexes!O6,IF(AB51=0,0,ROUND(AB51,0))),IF(AB49=Annexes!O5,IF(AB51&gt;Annexes!O5,Annexes!O5,IF(AB51=0,0,ROUND(AB51,0))),)),0))),0)</f>
        <v>0</v>
      </c>
      <c r="AC60" s="1"/>
      <c r="AD60" s="1"/>
      <c r="AE60" s="13"/>
    </row>
    <row r="61" spans="3:31" ht="15" hidden="1" customHeight="1">
      <c r="T61" s="14"/>
      <c r="U61" s="490" t="s">
        <v>76</v>
      </c>
      <c r="V61" s="490"/>
      <c r="W61" s="490"/>
      <c r="X61" s="490"/>
      <c r="Y61" s="490"/>
      <c r="Z61" s="1"/>
      <c r="AA61" s="14"/>
      <c r="AB61" s="1">
        <f>IFERROR(IF(AB50="Non",0,IF(AB52&gt;=0.7,IF(AB47="OUI",IF(AB56&gt;=Annexes!O6,Annexes!O6,ROUND(AB56,0)),IF(AND(AB48="OUI",AB46&gt;=0.8),IF(AB56&gt;=Annexes!O6,Annexes!O6,ROUND(AB56,0)),0)),IF(AB52&gt;=0.5,IF(AB47="OUI",IF(AB51&gt;=Annexes!O5,Annexes!O5,ROUND(AB51,0)),IF(AND(AB48="OUI",AB46&gt;=0.8),IF(AB51&gt;=Annexes!O5,Annexes!O5,ROUND(AB51,0)),0)),0))),0)</f>
        <v>0</v>
      </c>
      <c r="AC61" s="1"/>
      <c r="AD61" s="1"/>
      <c r="AE61" s="13"/>
    </row>
    <row r="62" spans="3:31" ht="15" hidden="1" customHeight="1">
      <c r="C62" s="547" t="s">
        <v>402</v>
      </c>
      <c r="D62" s="547"/>
      <c r="E62" s="547"/>
      <c r="F62" s="547"/>
      <c r="G62" s="547"/>
      <c r="H62" s="547"/>
      <c r="I62" s="547"/>
      <c r="J62" s="547"/>
      <c r="K62" s="547"/>
      <c r="L62" s="547"/>
      <c r="M62" s="547"/>
      <c r="N62" s="547"/>
      <c r="O62" s="547"/>
      <c r="P62" s="40"/>
      <c r="T62" s="14"/>
      <c r="U62" s="490" t="s">
        <v>77</v>
      </c>
      <c r="V62" s="490"/>
      <c r="W62" s="490"/>
      <c r="X62" s="490"/>
      <c r="Y62" s="490"/>
      <c r="Z62" s="1"/>
      <c r="AA62" s="14"/>
      <c r="AB62" s="1">
        <f>IFERROR(IF(AB82="NON",0,IF(AB84="Non",0,IF(AB85&gt;Annexes!O7*(Annexes!M6-1),IF(Annexes!O7*(Annexes!M6-1)&gt;10000,10000,Annexes!O7*(Annexes!M6-1)),ROUND(IF(AB85&gt;10000,10000,AB85),0)))),0)</f>
        <v>0</v>
      </c>
      <c r="AC62" s="1"/>
      <c r="AD62" s="1"/>
      <c r="AE62" s="13"/>
    </row>
    <row r="63" spans="3:31" ht="15" hidden="1" customHeight="1">
      <c r="C63" s="547"/>
      <c r="D63" s="547"/>
      <c r="E63" s="547"/>
      <c r="F63" s="547"/>
      <c r="G63" s="547"/>
      <c r="H63" s="547"/>
      <c r="I63" s="547"/>
      <c r="J63" s="547"/>
      <c r="K63" s="547"/>
      <c r="L63" s="547"/>
      <c r="M63" s="547"/>
      <c r="N63" s="547"/>
      <c r="O63" s="547"/>
      <c r="P63" s="40"/>
      <c r="T63" s="14"/>
      <c r="U63" s="1"/>
      <c r="V63" s="1"/>
      <c r="W63" s="1"/>
      <c r="X63" s="1"/>
      <c r="Y63" s="1"/>
      <c r="Z63" s="1"/>
      <c r="AA63" s="1"/>
      <c r="AB63" s="1"/>
      <c r="AC63" s="1"/>
      <c r="AD63" s="1"/>
      <c r="AE63" s="13"/>
    </row>
    <row r="64" spans="3:31" ht="15" hidden="1" customHeight="1">
      <c r="C64" s="60"/>
      <c r="D64" s="561" t="str">
        <f>IF(AB52&gt;=0.7,IF(AB47="OUI","- L'entreprise a subi une perte d'au-moins 70 % en Octobre 2020 et est mentionnée en annexe 1 (S1) du décret 2020-1328, l'entreprise peut bénéficier à ce titre d'une aide plafonné à 10 000 €",IF(AND(AB48="OUI",AB46&gt;=0.8),"- L'entreprise a subi une perte d'au-moins 70 % en Octobre 2020 et est mentionnée en annexe 2 (S1 bis) du"&amp;" décret 2020-1328 ayant aussi eu une perte de CA d'au moins 80 % entre le 15/03/2020 et le 15/05/2020, l'entreprise peut bénéficier à ce titre d'une aide plafonné à 10 000 €","- L'entreprise n'est pas mentionnée en annexe 1 (S1) ou en annexe 2 (S1 bis) du décret 2020-1328 et ayant subi une perte de CA d'au moins 80 % entre le 15/03/2020 et le 15/05/2020, l'entreprise ne peut donc pas bénéficier de cette aide")),IF(AB52&gt;=0.5,IF(AB47="OUI","- L'entreprise a subi une perte d'au-moins 50 % en Octobre 2020 et est mentionnée en annexe 1 (S1) du décret 2020-1328, l'entreprise peut bénéficier à ce titre d'une aide plafonné à 1 500 €",IF(AND(AB48="OUI",AB46&gt;=0.8),"- L'entreprise a subi une perte d'au-moins 50 % en Octobre 2020 et est mentionnée en annexe 2 (S1 bis) du décret 2020-1328 ayant aussi eu une perte de CA d'au moins 80 % entre le 15/03/2020 et le 15/05/2020,"&amp;" l'entreprise peut bénéficier à ce titre d'une aide plafonné à 1 500 €","- L'entreprise n'est pas mentionnée en annexe 1 (S1) ou en annexe 2 (S1 bis) du décret 2020-1328 et ayant subi une perte de CA d'au moins 80 % entre le 15/03/2020 et le 15/05/2020, l'entreprise ne peut donc pas bénéficier de cette aide")),"- L'entreprise n'a pas subi de perte d'au-moins 50 % sur son CA d'Octobre 2020"))</f>
        <v>- L'entreprise n'a pas subi de perte d'au-moins 50 % sur son CA d'Octobre 2020</v>
      </c>
      <c r="E64" s="561"/>
      <c r="F64" s="561"/>
      <c r="G64" s="561"/>
      <c r="H64" s="561"/>
      <c r="I64" s="561"/>
      <c r="J64" s="561"/>
      <c r="K64" s="561"/>
      <c r="L64" s="561"/>
      <c r="M64" s="561"/>
      <c r="N64" s="561"/>
      <c r="O64" s="561"/>
      <c r="P64" s="40"/>
      <c r="T64" s="14"/>
      <c r="U64" s="1"/>
      <c r="V64" s="1"/>
      <c r="W64" s="1"/>
      <c r="X64" s="1"/>
      <c r="Y64" s="1"/>
      <c r="Z64" s="1"/>
      <c r="AA64" s="1"/>
      <c r="AB64" s="1"/>
      <c r="AC64" s="1"/>
      <c r="AD64" s="1"/>
      <c r="AE64" s="13"/>
    </row>
    <row r="65" spans="2:31" ht="15" hidden="1" customHeight="1">
      <c r="C65" s="60"/>
      <c r="D65" s="561"/>
      <c r="E65" s="561"/>
      <c r="F65" s="561"/>
      <c r="G65" s="561"/>
      <c r="H65" s="561"/>
      <c r="I65" s="561"/>
      <c r="J65" s="561"/>
      <c r="K65" s="561"/>
      <c r="L65" s="561"/>
      <c r="M65" s="561"/>
      <c r="N65" s="561"/>
      <c r="O65" s="561"/>
      <c r="P65" s="40"/>
      <c r="T65" s="14"/>
      <c r="U65" s="1"/>
      <c r="V65" s="1"/>
      <c r="W65" s="1"/>
      <c r="X65" s="1"/>
      <c r="Y65" s="1"/>
      <c r="Z65" s="1"/>
      <c r="AA65" s="1"/>
      <c r="AB65" s="1"/>
      <c r="AC65" s="1"/>
      <c r="AD65" s="1"/>
      <c r="AE65" s="13"/>
    </row>
    <row r="66" spans="2:31" ht="15" hidden="1" customHeight="1">
      <c r="C66" s="60"/>
      <c r="D66" s="60" t="str">
        <f>IFERROR(IF('Mon Entreprise'!K8&gt;=Annexes!O20,IF(AB42&gt;=AB44,"- Le CA de référence est celui d'octobre 2019, soit une perte de "&amp;ROUND(AB42,0)&amp;" €"&amp;" ==&gt; "&amp;ROUND(AE42*100,0)&amp;" %","- Le CA de référence est celui de la création, soit une perte de "&amp;ROUND(AB44,0)&amp;" €"&amp;" ==&gt; "&amp;ROUND(AE44*100,0)&amp;" %"),IF(AB42&gt;=AB43,"- Le CA de référence est celui de Octobre 2019, soit une perte de "&amp;ROUND(AB42,0)&amp;" €"&amp;" ==&gt; "&amp;ROUND(AE42*100,0)&amp;" %","- Le CA de référence est celui de l'exercice 2019, soit une perte de "&amp;ROUND(AB43,0)&amp;" €"&amp;" ==&gt; "&amp;ROUND(AE43*100,0)&amp;" %")),"")</f>
        <v>- Le CA de référence est celui de Octobre 2019, soit une perte de 0 € ==&gt; 0 %</v>
      </c>
      <c r="E66" s="60"/>
      <c r="F66" s="60"/>
      <c r="G66" s="60"/>
      <c r="H66" s="122"/>
      <c r="I66" s="60"/>
      <c r="J66" s="60"/>
      <c r="K66" s="60"/>
      <c r="M66" s="60"/>
      <c r="N66" s="60"/>
      <c r="O66" s="60"/>
      <c r="P66" s="40"/>
      <c r="T66" s="119"/>
      <c r="U66" s="1"/>
      <c r="V66" s="1"/>
      <c r="W66" s="1"/>
      <c r="X66" s="1"/>
      <c r="Y66" s="1"/>
      <c r="Z66" s="1"/>
      <c r="AA66" s="1"/>
      <c r="AB66" s="1"/>
      <c r="AC66" s="1"/>
      <c r="AD66" s="1"/>
      <c r="AE66" s="13"/>
    </row>
    <row r="67" spans="2:31" ht="15" hidden="1" customHeight="1">
      <c r="C67" s="60"/>
      <c r="D67" s="60" t="str">
        <f>IF(AB52&gt;=0.7,IF(AB47="OUI","- Le CA de référence est plafonné à 60 %, il est donc de "&amp;ROUND(AB55*0.6,0)&amp;" €",IF(AND(AB48="OUI",AB46&gt;=0.8),"- Le CA de référence est plafonné à 60 %, il est donc de "&amp;ROUND(AB55*0.6,0)&amp;" €","- Sans ticket modérateur")),"- Sans ticket modérateur")</f>
        <v>- Sans ticket modérateur</v>
      </c>
      <c r="E67" s="60"/>
      <c r="F67" s="60"/>
      <c r="G67" s="60"/>
      <c r="H67" s="60"/>
      <c r="I67" s="60"/>
      <c r="J67" s="60"/>
      <c r="K67" s="60"/>
      <c r="L67" s="60"/>
      <c r="M67" s="60"/>
      <c r="N67" s="60"/>
      <c r="O67" s="60"/>
      <c r="P67" s="40"/>
      <c r="T67" s="29"/>
      <c r="U67" s="1"/>
      <c r="V67" s="1"/>
      <c r="W67" s="1"/>
      <c r="X67" s="1"/>
      <c r="Y67" s="1"/>
      <c r="Z67" s="1"/>
      <c r="AA67" s="1"/>
      <c r="AB67" s="1"/>
      <c r="AC67" s="1"/>
      <c r="AD67" s="1"/>
      <c r="AE67" s="13"/>
    </row>
    <row r="68" spans="2:31" ht="15" hidden="1" customHeight="1" thickBot="1">
      <c r="T68" s="14"/>
      <c r="U68" s="1"/>
      <c r="V68" s="1"/>
      <c r="W68" s="1"/>
      <c r="X68" s="1"/>
      <c r="Y68" s="1"/>
      <c r="Z68" s="1"/>
      <c r="AA68" s="1"/>
      <c r="AB68" s="1"/>
      <c r="AC68" s="1"/>
      <c r="AD68" s="1"/>
      <c r="AE68" s="13"/>
    </row>
    <row r="69" spans="2:31" ht="15" hidden="1" customHeight="1">
      <c r="D69" s="508" t="str">
        <f>IFERROR(IF(AB50="Non","Vous avez débuté votre activité après le 30 Septembre 2020, vous ne pouvez donc pas bénéficier de cette aide",IF(AB52&gt;=0.7,IF(AB47="OUI",IF(AB56&gt;=Annexes!O6,"Dans votre cas, l'aide est Plafonnée, à "&amp;Annexes!O6&amp;" € pour le mois d'octobre","Vous pouvez bénéficier, au titre de cette aide, d'un montant de "&amp;ROUND(AB56,0)&amp;" € pour le mois d'octobre"),IF(AND(AB48="OUI",AB46&gt;=0.8),IF(AB56&gt;=Annexes!O6,"Dans votre cas, l'aide est Plafonnée, à "&amp;Annexes!O6&amp;" € pour le mois d'octobre","Vous pouvez bénéficier, au titre de cette aide, d'un montant de "&amp;ROUND(AB56,0)&amp;" € pour le mois d'octobre"),"L'entreprise n'est pas mentionnée en annexe 1 (S1) ou en annexe 2 (S1 bis) du décret 2020-1328 et ayant subi une perte de CA d'au moins 80 % entre le 15/03/2020 et le 15/05/2020, l'entreprise ne peut donc pas bénéficier de cette aide")),IF(AB52&gt;=0.5,IF(AB47="OUI",IF(AB51&gt;=Annexes!O5,"Dans votre cas, l'aide est Plafonnée, à "&amp;Annexes!O5&amp;" € pour le mois d'octobre","Vous pouvez bénéficier, au titre de cette aide, d'un montant de "&amp;ROUND(AB51,0)&amp;" € pour le mois d'octobre"),IF(AND(AB48="OUI",AB46&gt;=0.8),IF(AB51&gt;=Annexes!O5,"Dans votre cas, l'aide est Plafonnée, à "&amp;Annexes!O5&amp;" € pour le mois d'octobre","Vous pouvez bénéficier, au titre de cette aide, d'un montant de "&amp;ROUND(AB51,0)&amp;" € pour le mois d'octobre"),"L'entreprise n'est pas mentionnée en annexe 1 (S1) ou en annexe 2 (S1 bis) du décret 2020-1328 et ayant subi une perte de CA d'au moins 80 % entre le 15/03/2020 et le 15/05/2020, l'entreprise ne peut donc pas bénéficier de cette aide")),"L'entreprise n'a pas subi de perte d'au-moins 50 % sur son CA d'Octobre 2020"))),"Vous n'avez pas indiqué de chiffre d'affaires de référence")</f>
        <v>L'entreprise n'a pas subi de perte d'au-moins 50 % sur son CA d'Octobre 2020</v>
      </c>
      <c r="E69" s="509"/>
      <c r="F69" s="509"/>
      <c r="G69" s="509"/>
      <c r="H69" s="509"/>
      <c r="I69" s="509"/>
      <c r="J69" s="509"/>
      <c r="K69" s="509"/>
      <c r="L69" s="509"/>
      <c r="M69" s="509"/>
      <c r="N69" s="509"/>
      <c r="O69" s="510"/>
      <c r="T69" s="30"/>
      <c r="U69" s="1"/>
      <c r="V69" s="1"/>
      <c r="W69" s="1"/>
      <c r="X69" s="1"/>
      <c r="Y69" s="1"/>
      <c r="Z69" s="1"/>
      <c r="AA69" s="1"/>
      <c r="AB69" s="1"/>
      <c r="AC69" s="1"/>
      <c r="AD69" s="1"/>
      <c r="AE69" s="13"/>
    </row>
    <row r="70" spans="2:31" ht="15" hidden="1" customHeight="1">
      <c r="D70" s="511"/>
      <c r="E70" s="512"/>
      <c r="F70" s="512"/>
      <c r="G70" s="512"/>
      <c r="H70" s="512"/>
      <c r="I70" s="512"/>
      <c r="J70" s="512"/>
      <c r="K70" s="512"/>
      <c r="L70" s="512"/>
      <c r="M70" s="512"/>
      <c r="N70" s="512"/>
      <c r="O70" s="513"/>
      <c r="T70" s="20"/>
      <c r="U70" s="38"/>
      <c r="V70" s="1"/>
      <c r="W70" s="1"/>
      <c r="X70" s="1"/>
      <c r="Y70" s="1"/>
      <c r="Z70" s="1"/>
      <c r="AA70" s="1"/>
      <c r="AB70" s="1"/>
      <c r="AC70" s="1"/>
      <c r="AD70" s="1"/>
      <c r="AE70" s="13"/>
    </row>
    <row r="71" spans="2:31" ht="15.75" hidden="1" customHeight="1">
      <c r="D71" s="511"/>
      <c r="E71" s="512"/>
      <c r="F71" s="512"/>
      <c r="G71" s="512"/>
      <c r="H71" s="512"/>
      <c r="I71" s="512"/>
      <c r="J71" s="512"/>
      <c r="K71" s="512"/>
      <c r="L71" s="512"/>
      <c r="M71" s="512"/>
      <c r="N71" s="512"/>
      <c r="O71" s="513"/>
      <c r="T71" s="14"/>
      <c r="U71" s="1"/>
      <c r="V71" s="1"/>
      <c r="W71" s="1"/>
      <c r="X71" s="1"/>
      <c r="Y71" s="1"/>
      <c r="Z71" s="1"/>
      <c r="AA71" s="1"/>
      <c r="AB71" s="1"/>
      <c r="AC71" s="1"/>
      <c r="AD71" s="1"/>
      <c r="AE71" s="13"/>
    </row>
    <row r="72" spans="2:31" ht="15.75" hidden="1" customHeight="1" thickBot="1">
      <c r="D72" s="514"/>
      <c r="E72" s="515"/>
      <c r="F72" s="515"/>
      <c r="G72" s="515"/>
      <c r="H72" s="515"/>
      <c r="I72" s="515"/>
      <c r="J72" s="515"/>
      <c r="K72" s="515"/>
      <c r="L72" s="515"/>
      <c r="M72" s="515"/>
      <c r="N72" s="515"/>
      <c r="O72" s="516"/>
      <c r="T72" s="14"/>
      <c r="U72" s="1"/>
      <c r="V72" s="1"/>
      <c r="W72" s="1"/>
      <c r="X72" s="1"/>
      <c r="Y72" s="1"/>
      <c r="Z72" s="1"/>
      <c r="AA72" s="1"/>
      <c r="AB72" s="1"/>
      <c r="AC72" s="1"/>
      <c r="AD72" s="1"/>
      <c r="AE72" s="13"/>
    </row>
    <row r="73" spans="2:31" ht="15" hidden="1" customHeight="1">
      <c r="C73" s="127"/>
      <c r="D73" s="127"/>
      <c r="E73" s="10"/>
      <c r="F73" s="10"/>
      <c r="G73" s="10"/>
      <c r="H73" s="10"/>
      <c r="I73" s="10"/>
      <c r="J73" s="10"/>
      <c r="K73" s="10"/>
      <c r="L73" s="10"/>
      <c r="M73" s="128"/>
      <c r="N73" s="10"/>
      <c r="O73" s="10"/>
      <c r="T73" s="14"/>
      <c r="U73" s="1"/>
      <c r="V73" s="1"/>
      <c r="W73" s="1"/>
      <c r="X73" s="1"/>
      <c r="Y73" s="1"/>
      <c r="Z73" s="1"/>
      <c r="AA73" s="1"/>
      <c r="AB73" s="1"/>
      <c r="AC73" s="1"/>
      <c r="AD73" s="1"/>
      <c r="AE73" s="13"/>
    </row>
    <row r="74" spans="2:31" ht="15" hidden="1" customHeight="1">
      <c r="B74" s="5"/>
      <c r="C74" s="5"/>
      <c r="D74" s="5"/>
      <c r="P74" s="1"/>
      <c r="T74" s="14"/>
      <c r="U74" s="1"/>
      <c r="V74" s="1"/>
      <c r="W74" s="1"/>
      <c r="X74" s="1"/>
      <c r="Y74" s="1"/>
      <c r="Z74" s="1"/>
      <c r="AA74" s="1"/>
      <c r="AB74" s="1"/>
      <c r="AC74" s="1"/>
      <c r="AD74" s="1"/>
      <c r="AE74" s="13"/>
    </row>
    <row r="75" spans="2:31" ht="15.75" hidden="1" customHeight="1">
      <c r="B75" s="58"/>
      <c r="C75" s="121" t="s">
        <v>63</v>
      </c>
      <c r="D75" s="121"/>
      <c r="E75" s="60"/>
      <c r="F75" s="60"/>
      <c r="G75" s="60"/>
      <c r="H75" s="60"/>
      <c r="I75" s="60"/>
      <c r="J75" s="60"/>
      <c r="K75" s="60"/>
      <c r="L75" s="116"/>
      <c r="M75" s="60"/>
      <c r="N75" s="60"/>
      <c r="O75" s="60"/>
      <c r="P75" s="44"/>
      <c r="T75" s="14"/>
      <c r="U75" s="1"/>
      <c r="V75" s="1"/>
      <c r="W75" s="1"/>
      <c r="X75" s="1"/>
      <c r="Y75" s="1"/>
      <c r="Z75" s="1"/>
      <c r="AA75" s="1"/>
      <c r="AB75" s="1"/>
      <c r="AC75" s="1"/>
      <c r="AD75" s="1"/>
      <c r="AE75" s="13"/>
    </row>
    <row r="76" spans="2:31" ht="15" hidden="1" customHeight="1">
      <c r="B76" s="40"/>
      <c r="C76" s="60"/>
      <c r="D76" s="60" t="str">
        <f>"- Nombre de jours de fermetures au mois d'octobre : "&amp;IF(Annexes!M9=FALSE,0,IF(Annexes!M6=1,0,Annexes!M6-1))&amp;" jour(s)"</f>
        <v>- Nombre de jours de fermetures au mois d'octobre : 0 jour(s)</v>
      </c>
      <c r="E76" s="60"/>
      <c r="F76" s="60"/>
      <c r="G76" s="60"/>
      <c r="H76" s="60"/>
      <c r="I76" s="60"/>
      <c r="J76" s="60"/>
      <c r="K76" s="60"/>
      <c r="L76" s="60"/>
      <c r="M76" s="60"/>
      <c r="N76" s="60"/>
      <c r="O76" s="60"/>
      <c r="P76" s="44"/>
      <c r="Q76" s="44"/>
      <c r="R76" s="1"/>
      <c r="S76" s="1"/>
      <c r="T76" s="188"/>
      <c r="U76" s="490" t="s">
        <v>20</v>
      </c>
      <c r="V76" s="490"/>
      <c r="W76" s="490"/>
      <c r="X76" s="1"/>
      <c r="Y76" s="117" t="s">
        <v>6</v>
      </c>
      <c r="Z76" s="117"/>
      <c r="AA76" s="117"/>
      <c r="AB76" s="117" t="s">
        <v>23</v>
      </c>
      <c r="AC76" s="117"/>
      <c r="AD76" s="117"/>
      <c r="AE76" s="26" t="s">
        <v>24</v>
      </c>
    </row>
    <row r="77" spans="2:31" ht="15" hidden="1" customHeight="1">
      <c r="B77" s="58"/>
      <c r="C77" s="121"/>
      <c r="D77" s="121"/>
      <c r="E77" s="60" t="str">
        <f>IF(Annexes!M9=FALSE,"Vous n'avez pas coché la case Fermeture administrative de Septembre à Octobre",IF(Annexes!M6=1,"Vous n'avez pas de jour de fermeture en Octobre",""))</f>
        <v>Vous n'avez pas coché la case Fermeture administrative de Septembre à Octobre</v>
      </c>
      <c r="F77" s="60"/>
      <c r="G77" s="60"/>
      <c r="H77" s="60"/>
      <c r="I77" s="60"/>
      <c r="J77" s="60"/>
      <c r="K77" s="60"/>
      <c r="L77" s="60"/>
      <c r="M77" s="60"/>
      <c r="N77" s="60"/>
      <c r="O77" s="60"/>
      <c r="P77" s="61"/>
      <c r="Q77" s="44"/>
      <c r="R77" s="44"/>
      <c r="S77" s="1"/>
      <c r="T77" s="491" t="s">
        <v>29</v>
      </c>
      <c r="U77" s="490"/>
      <c r="V77" s="490"/>
      <c r="W77" s="490"/>
      <c r="X77" s="1"/>
      <c r="Y77" s="7">
        <f>'Mon Entreprise'!M109</f>
        <v>0</v>
      </c>
      <c r="Z77" s="21"/>
      <c r="AA77" s="22"/>
      <c r="AB77" s="7">
        <f>IF('Mon Entreprise'!I109-'Mon Entreprise'!M109&lt;0,0,'Mon Entreprise'!I109-'Mon Entreprise'!M109)</f>
        <v>0</v>
      </c>
      <c r="AC77" s="1"/>
      <c r="AD77" s="14"/>
      <c r="AE77" s="27">
        <f>IFERROR(1-'Mon Entreprise'!M109/'Mon Entreprise'!I109,0)</f>
        <v>0</v>
      </c>
    </row>
    <row r="78" spans="2:31" ht="15" hidden="1" customHeight="1">
      <c r="B78" s="62"/>
      <c r="C78" s="123"/>
      <c r="D78" s="123" t="str">
        <f>IFERROR(IF('Mon Entreprise'!K8&gt;=Annexes!O20,IF(AB77&gt;=AB79,"- Le CA de référence est celui d'octobre 2019, soit une perte de "&amp;ROUND(AB77,0)&amp;" €"&amp;" ==&gt; "&amp;ROUND(AE77*100,0)&amp;" %","- Le CA de référence est celui de la création, soit une perte de "&amp;ROUND(AB79,0)&amp;" €"&amp;" ==&gt; "&amp;ROUND(AE79*100,0)&amp;" %"),IF(AB77&gt;=AB78,"- Le CA de référence est celui d'Octobre 2019, soit une perte de "&amp;ROUND(AB77,0)&amp;" €"&amp;" ==&gt; "&amp;ROUND(AE77*100,0)&amp;" %","- Le CA de référence est celui de l'exercice 2019, soit une perte de "&amp;ROUND(AB78,0)&amp;" €"&amp;" ==&gt; "&amp;ROUND(AE78*100,0)&amp;" %")),"")</f>
        <v>- Le CA de référence est celui d'Octobre 2019, soit une perte de 0 € ==&gt; 0 %</v>
      </c>
      <c r="E78" s="60"/>
      <c r="F78" s="60"/>
      <c r="G78" s="60"/>
      <c r="H78" s="60"/>
      <c r="I78" s="60"/>
      <c r="J78" s="60"/>
      <c r="K78" s="60"/>
      <c r="L78" s="60"/>
      <c r="M78" s="60"/>
      <c r="N78" s="60"/>
      <c r="O78" s="60"/>
      <c r="P78" s="40"/>
      <c r="Q78" s="44"/>
      <c r="R78" s="44"/>
      <c r="S78" s="1"/>
      <c r="T78" s="491" t="s">
        <v>25</v>
      </c>
      <c r="U78" s="490"/>
      <c r="V78" s="490"/>
      <c r="W78" s="490"/>
      <c r="X78" s="1"/>
      <c r="Y78" s="7">
        <f>'Mon Entreprise'!I96*(Annexes!M4-1)/360</f>
        <v>0</v>
      </c>
      <c r="Z78" s="21"/>
      <c r="AA78" s="22"/>
      <c r="AB78" s="7">
        <f>IF('Mon Entreprise'!I96*(Annexes!M6-1)/360-'Mon Entreprise'!M109&lt;0,0,'Mon Entreprise'!I96*(Annexes!M6-1)/360-'Mon Entreprise'!M109)</f>
        <v>0</v>
      </c>
      <c r="AC78" s="7"/>
      <c r="AD78" s="14"/>
      <c r="AE78" s="27">
        <f>IFERROR(1-'Mon Entreprise'!M109/('Mon Entreprise'!I96*(Annexes!M6-1)/360),0)</f>
        <v>0</v>
      </c>
    </row>
    <row r="79" spans="2:31" ht="15" hidden="1" customHeight="1" thickBot="1">
      <c r="C79" s="5"/>
      <c r="D79" s="5"/>
      <c r="Q79" s="61"/>
      <c r="R79" s="44"/>
      <c r="S79" s="1"/>
      <c r="T79" s="491" t="s">
        <v>22</v>
      </c>
      <c r="U79" s="490"/>
      <c r="V79" s="490"/>
      <c r="W79" s="490"/>
      <c r="X79" s="1"/>
      <c r="Y79" s="18" t="str">
        <f>IFERROR(IF('Mon Entreprise'!K8&gt;=Annexes!O20,'Mon Entreprise'!I178,"NC"),"NC")</f>
        <v>NC</v>
      </c>
      <c r="Z79" s="23"/>
      <c r="AA79" s="22"/>
      <c r="AB79" s="37" t="str">
        <f>IFERROR(IF('Mon Entreprise'!K8&gt;=Annexes!O20,IF('Mon Entreprise'!I178-'Mon Entreprise'!M109&lt;0,0,'Mon Entreprise'!I178-'Mon Entreprise'!M109),"NC"),"NC")</f>
        <v>NC</v>
      </c>
      <c r="AC79" s="118"/>
      <c r="AD79" s="14"/>
      <c r="AE79" s="28" t="str">
        <f>IFERROR(IF('Mon Entreprise'!K8&gt;=Annexes!O20,1-'Mon Entreprise'!M109/'Mon Entreprise'!I178,"NC"),"NC")</f>
        <v>NC</v>
      </c>
    </row>
    <row r="80" spans="2:31" ht="15" hidden="1" customHeight="1">
      <c r="B80" s="5"/>
      <c r="C80" s="5"/>
      <c r="D80" s="538" t="str">
        <f>IFERROR(IF(AB82="NON","Vous avez débuté votre activité après le 30 Septembre 2020, vous ne pouvez donc pas bénéficier de cette aide",IF(AB84="Non","Vous n'avez pas eu de fermeture administrative en octobre, vous ne pouvez donc pas bénéficier de cette aide",IF(AB85&gt;Annexes!O7*(Annexes!M6-1),"Dans votre cas, l'aide est Plafonnée sur 333 €/jour, soit "&amp;IF(Annexes!O7*(Annexes!M6-1)&gt;10000,10000,Annexes!O7*(Annexes!M6-1))&amp;" €, pour le mois d'octobre","Vous pouvez bénéficier, au titre de cette aide, d'un montant de "&amp;ROUND(IF(AB85&gt;10000,10000,AB85),0)&amp;" € pour le mois d'octobre"))),"Vous n'avez pas indiqué de chiffre d'affaires de référence")</f>
        <v>Vous n'avez pas eu de fermeture administrative en octobre, vous ne pouvez donc pas bénéficier de cette aide</v>
      </c>
      <c r="E80" s="539"/>
      <c r="F80" s="539"/>
      <c r="G80" s="539"/>
      <c r="H80" s="539"/>
      <c r="I80" s="539"/>
      <c r="J80" s="539"/>
      <c r="K80" s="539"/>
      <c r="L80" s="539"/>
      <c r="M80" s="539"/>
      <c r="N80" s="539"/>
      <c r="O80" s="540"/>
      <c r="Q80" s="40"/>
      <c r="R80" s="61"/>
      <c r="T80" s="119"/>
      <c r="U80" s="118"/>
      <c r="V80" s="118"/>
      <c r="W80" s="118"/>
      <c r="X80" s="1"/>
      <c r="Y80" s="18"/>
      <c r="Z80" s="23"/>
      <c r="AA80" s="21"/>
      <c r="AB80" s="37"/>
      <c r="AC80" s="118"/>
      <c r="AD80" s="1"/>
      <c r="AE80" s="28"/>
    </row>
    <row r="81" spans="2:31" ht="15" hidden="1" customHeight="1">
      <c r="B81" s="5"/>
      <c r="C81" s="5"/>
      <c r="D81" s="541"/>
      <c r="E81" s="542"/>
      <c r="F81" s="542"/>
      <c r="G81" s="542"/>
      <c r="H81" s="542"/>
      <c r="I81" s="542"/>
      <c r="J81" s="542"/>
      <c r="K81" s="542"/>
      <c r="L81" s="542"/>
      <c r="M81" s="542"/>
      <c r="N81" s="542"/>
      <c r="O81" s="543"/>
      <c r="Q81" s="40"/>
      <c r="R81" s="61"/>
      <c r="T81" s="14"/>
      <c r="U81" s="1"/>
      <c r="V81" s="1"/>
      <c r="W81" s="1"/>
      <c r="X81" s="1"/>
      <c r="Y81" s="1"/>
      <c r="Z81" s="1"/>
      <c r="AA81" s="1"/>
      <c r="AB81" s="1"/>
      <c r="AC81" s="1"/>
      <c r="AD81" s="1"/>
      <c r="AE81" s="13"/>
    </row>
    <row r="82" spans="2:31" ht="15" hidden="1" customHeight="1">
      <c r="B82" s="5"/>
      <c r="C82" s="5"/>
      <c r="D82" s="541"/>
      <c r="E82" s="542"/>
      <c r="F82" s="542"/>
      <c r="G82" s="542"/>
      <c r="H82" s="542"/>
      <c r="I82" s="542"/>
      <c r="J82" s="542"/>
      <c r="K82" s="542"/>
      <c r="L82" s="542"/>
      <c r="M82" s="542"/>
      <c r="N82" s="542"/>
      <c r="O82" s="543"/>
      <c r="R82" s="40"/>
      <c r="T82" s="14"/>
      <c r="U82" s="506" t="s">
        <v>72</v>
      </c>
      <c r="V82" s="506"/>
      <c r="W82" s="506"/>
      <c r="X82" s="506"/>
      <c r="Y82" s="506"/>
      <c r="Z82" s="129"/>
      <c r="AA82" s="14"/>
      <c r="AB82" s="118" t="str">
        <f>IF('Mon Entreprise'!K8&lt;=Annexes!Q24,"Oui","Non")</f>
        <v>Oui</v>
      </c>
      <c r="AC82" s="1"/>
      <c r="AD82" s="1"/>
      <c r="AE82" s="13"/>
    </row>
    <row r="83" spans="2:31" ht="15" hidden="1" customHeight="1" thickBot="1">
      <c r="C83" s="5"/>
      <c r="D83" s="544"/>
      <c r="E83" s="545"/>
      <c r="F83" s="545"/>
      <c r="G83" s="545"/>
      <c r="H83" s="545"/>
      <c r="I83" s="545"/>
      <c r="J83" s="545"/>
      <c r="K83" s="545"/>
      <c r="L83" s="545"/>
      <c r="M83" s="545"/>
      <c r="N83" s="545"/>
      <c r="O83" s="546"/>
      <c r="T83" s="14"/>
      <c r="U83" s="490" t="s">
        <v>78</v>
      </c>
      <c r="V83" s="490"/>
      <c r="W83" s="490"/>
      <c r="X83" s="490"/>
      <c r="Y83" s="490"/>
      <c r="Z83" s="118"/>
      <c r="AA83" s="14"/>
      <c r="AB83" s="118">
        <f>IF(Annexes!M9=FALSE,0,IF(Annexes!M6=1,0,Annexes!M6-1))</f>
        <v>0</v>
      </c>
      <c r="AC83" s="1"/>
      <c r="AD83" s="1"/>
      <c r="AE83" s="13"/>
    </row>
    <row r="84" spans="2:31" ht="15.75" hidden="1" customHeight="1">
      <c r="B84" s="5"/>
      <c r="C84" s="5"/>
      <c r="D84" s="5"/>
      <c r="T84" s="14"/>
      <c r="U84" s="490" t="s">
        <v>79</v>
      </c>
      <c r="V84" s="490"/>
      <c r="W84" s="490"/>
      <c r="X84" s="490"/>
      <c r="Y84" s="490"/>
      <c r="Z84" s="118"/>
      <c r="AA84" s="14"/>
      <c r="AB84" s="118" t="str">
        <f>IF(Annexes!M9=FALSE,"Non",IF(Annexes!M6=1,"Non","Oui"))</f>
        <v>Non</v>
      </c>
      <c r="AC84" s="1"/>
      <c r="AD84" s="1"/>
      <c r="AE84" s="13"/>
    </row>
    <row r="85" spans="2:31" ht="15" hidden="1" customHeight="1">
      <c r="T85" s="14"/>
      <c r="U85" s="490" t="s">
        <v>80</v>
      </c>
      <c r="V85" s="490"/>
      <c r="W85" s="490"/>
      <c r="X85" s="490"/>
      <c r="Y85" s="490"/>
      <c r="Z85" s="130"/>
      <c r="AA85" s="14"/>
      <c r="AB85" s="37">
        <f>IF('Mon Entreprise'!K8&gt;=Annexes!O20,IF(AB77&gt;=AB79,AB77,AB79),IF(AB77&gt;=AB78,AB77,AB78))</f>
        <v>0</v>
      </c>
      <c r="AC85" s="1"/>
      <c r="AD85" s="1"/>
      <c r="AE85" s="13"/>
    </row>
    <row r="86" spans="2:31" ht="15.75" customHeight="1">
      <c r="B86" s="5"/>
      <c r="C86" s="5"/>
      <c r="D86" s="5"/>
      <c r="T86" s="14"/>
      <c r="U86" s="291"/>
      <c r="V86" s="291"/>
      <c r="W86" s="291"/>
      <c r="X86" s="291"/>
      <c r="Y86" s="291"/>
      <c r="Z86" s="130"/>
      <c r="AA86" s="1"/>
      <c r="AB86" s="37"/>
      <c r="AC86" s="1"/>
      <c r="AD86" s="1"/>
      <c r="AE86" s="13"/>
    </row>
    <row r="87" spans="2:31" ht="15" customHeight="1" thickBot="1">
      <c r="B87" s="220"/>
      <c r="C87" s="488" t="s">
        <v>30</v>
      </c>
      <c r="D87" s="488"/>
      <c r="E87" s="488"/>
      <c r="F87" s="488"/>
      <c r="G87" s="488"/>
      <c r="H87" s="488"/>
      <c r="I87" s="221"/>
      <c r="J87" s="221"/>
      <c r="K87" s="221"/>
      <c r="L87" s="221"/>
      <c r="M87" s="221"/>
      <c r="N87" s="221"/>
      <c r="O87" s="221"/>
      <c r="P87" s="1"/>
      <c r="T87" s="15"/>
      <c r="U87" s="10"/>
      <c r="V87" s="10"/>
      <c r="W87" s="10"/>
      <c r="X87" s="10"/>
      <c r="Y87" s="10"/>
      <c r="Z87" s="10"/>
      <c r="AA87" s="10"/>
      <c r="AB87" s="10"/>
      <c r="AC87" s="10"/>
      <c r="AD87" s="10"/>
      <c r="AE87" s="4"/>
    </row>
    <row r="88" spans="2:31" ht="15.75">
      <c r="B88" s="63"/>
      <c r="C88" s="24"/>
      <c r="D88" s="24"/>
      <c r="E88" s="24"/>
      <c r="F88" s="24"/>
      <c r="G88" s="24"/>
      <c r="H88" s="24"/>
      <c r="I88" s="1"/>
      <c r="J88" s="1"/>
      <c r="K88" s="1"/>
      <c r="L88" s="1"/>
      <c r="M88" s="1"/>
      <c r="N88" s="1"/>
      <c r="O88" s="1"/>
      <c r="P88" s="1"/>
      <c r="T88" s="14"/>
      <c r="U88" s="1"/>
      <c r="V88" s="1"/>
      <c r="W88" s="1"/>
      <c r="X88" s="1"/>
      <c r="Y88" s="1"/>
      <c r="Z88" s="1"/>
      <c r="AA88" s="1"/>
      <c r="AB88" s="1"/>
      <c r="AC88" s="1"/>
      <c r="AD88" s="1"/>
      <c r="AE88" s="13"/>
    </row>
    <row r="89" spans="2:31" ht="15.75">
      <c r="B89" s="103"/>
      <c r="C89" s="489" t="s">
        <v>96</v>
      </c>
      <c r="D89" s="489"/>
      <c r="E89" s="489"/>
      <c r="F89" s="489"/>
      <c r="G89" s="489"/>
      <c r="H89" s="489"/>
      <c r="I89" s="489"/>
      <c r="J89" s="489"/>
      <c r="K89" s="489"/>
      <c r="L89" s="489"/>
      <c r="M89" s="489"/>
      <c r="N89" s="489"/>
      <c r="O89" s="489"/>
      <c r="P89" s="1"/>
      <c r="Q89" s="1"/>
      <c r="T89" s="14"/>
      <c r="U89" s="1"/>
      <c r="V89" s="1"/>
      <c r="W89" s="1"/>
      <c r="X89" s="1"/>
      <c r="Y89" s="1"/>
      <c r="Z89" s="1"/>
      <c r="AA89" s="1"/>
      <c r="AB89" s="1"/>
      <c r="AC89" s="1"/>
      <c r="AD89" s="1"/>
      <c r="AE89" s="13"/>
    </row>
    <row r="90" spans="2:31" ht="15.75">
      <c r="B90" s="103"/>
      <c r="C90" s="120"/>
      <c r="D90" s="60" t="s">
        <v>26</v>
      </c>
      <c r="E90" s="120"/>
      <c r="F90" s="120"/>
      <c r="G90" s="120"/>
      <c r="H90" s="120"/>
      <c r="I90" s="120"/>
      <c r="J90" s="120"/>
      <c r="K90" s="120"/>
      <c r="L90" s="120"/>
      <c r="M90" s="120"/>
      <c r="N90" s="120"/>
      <c r="O90" s="120"/>
      <c r="P90" s="1"/>
      <c r="Q90" s="1"/>
      <c r="T90" s="14"/>
      <c r="U90" s="1"/>
      <c r="V90" s="1"/>
      <c r="W90" s="1"/>
      <c r="X90" s="1"/>
      <c r="Y90" s="1"/>
      <c r="Z90" s="1"/>
      <c r="AA90" s="1"/>
      <c r="AB90" s="1"/>
      <c r="AC90" s="1"/>
      <c r="AD90" s="1"/>
      <c r="AE90" s="13"/>
    </row>
    <row r="91" spans="2:31" ht="16.5" thickBot="1">
      <c r="B91" s="24"/>
      <c r="C91" s="24"/>
      <c r="D91" s="24"/>
      <c r="E91" s="24"/>
      <c r="F91" s="24"/>
      <c r="G91" s="24"/>
      <c r="H91" s="24"/>
      <c r="P91" s="1"/>
      <c r="Q91" s="1"/>
      <c r="R91" s="1"/>
      <c r="S91" s="1"/>
      <c r="T91" s="14"/>
      <c r="U91" s="1"/>
      <c r="V91" s="1"/>
      <c r="W91" s="1"/>
      <c r="X91" s="1"/>
      <c r="Y91" s="1"/>
      <c r="Z91" s="1"/>
      <c r="AA91" s="1"/>
      <c r="AB91" s="1"/>
      <c r="AC91" s="1"/>
      <c r="AD91" s="1"/>
      <c r="AE91" s="13"/>
    </row>
    <row r="92" spans="2:31" ht="15.75">
      <c r="B92" s="24"/>
      <c r="C92" s="24"/>
      <c r="D92" s="492" t="str">
        <f>IFERROR(IF(AND(AB117=0,AB118=0),"Vous ne pouvez pas bénéficier du fonds de solidarité pour le mois de Novembre 2020",IF(AB117&gt;AB118,"Votre entreprise peut bénéficier d'une aide de "&amp;AB117&amp;" €, au titre d'une perte d'au-moins 50 % de votre CA en Novembre 2020","Votre entreprise peut bénéficier d'une aide de "&amp;AB118&amp;" €, au titre d'une fermeture Administrative, ou d'une perte d'au moins 50 % de votre CA pour les activités mentionnées en annexe 1, ou en annexe 2 ayant une perte de CA d'au moins 80 % entre le 15/03/2020 et le 15/05/2020")),"Vous n'avez pas indiqué de chiffre d'affaires de référence")</f>
        <v>Vous ne pouvez pas bénéficier du fonds de solidarité pour le mois de Novembre 2020</v>
      </c>
      <c r="E92" s="493"/>
      <c r="F92" s="493"/>
      <c r="G92" s="493"/>
      <c r="H92" s="493"/>
      <c r="I92" s="493"/>
      <c r="J92" s="493"/>
      <c r="K92" s="493"/>
      <c r="L92" s="493"/>
      <c r="M92" s="493"/>
      <c r="N92" s="493"/>
      <c r="O92" s="494"/>
      <c r="P92" s="1"/>
      <c r="Q92" s="1"/>
      <c r="R92" s="1"/>
      <c r="S92" s="1"/>
      <c r="T92" s="25"/>
      <c r="U92" s="490" t="s">
        <v>20</v>
      </c>
      <c r="V92" s="490"/>
      <c r="W92" s="490"/>
      <c r="X92" s="1"/>
      <c r="Y92" s="117" t="s">
        <v>6</v>
      </c>
      <c r="Z92" s="117"/>
      <c r="AA92" s="117"/>
      <c r="AB92" s="117" t="s">
        <v>23</v>
      </c>
      <c r="AC92" s="117"/>
      <c r="AD92" s="117"/>
      <c r="AE92" s="26" t="s">
        <v>24</v>
      </c>
    </row>
    <row r="93" spans="2:31" ht="15.75">
      <c r="B93" s="24"/>
      <c r="C93" s="24"/>
      <c r="D93" s="495"/>
      <c r="E93" s="496"/>
      <c r="F93" s="496"/>
      <c r="G93" s="496"/>
      <c r="H93" s="496"/>
      <c r="I93" s="496"/>
      <c r="J93" s="496"/>
      <c r="K93" s="496"/>
      <c r="L93" s="496"/>
      <c r="M93" s="496"/>
      <c r="N93" s="496"/>
      <c r="O93" s="497"/>
      <c r="P93" s="1"/>
      <c r="Q93" s="1"/>
      <c r="R93" s="1"/>
      <c r="S93" s="1"/>
      <c r="T93" s="25"/>
      <c r="U93" s="117"/>
      <c r="V93" s="117"/>
      <c r="W93" s="117"/>
      <c r="X93" s="1"/>
      <c r="Y93" s="117"/>
      <c r="Z93" s="117"/>
      <c r="AA93" s="117"/>
      <c r="AB93" s="117"/>
      <c r="AC93" s="117"/>
      <c r="AD93" s="117"/>
      <c r="AE93" s="26"/>
    </row>
    <row r="94" spans="2:31" ht="15.75" customHeight="1">
      <c r="B94" s="24"/>
      <c r="C94" s="24"/>
      <c r="D94" s="495"/>
      <c r="E94" s="496"/>
      <c r="F94" s="496"/>
      <c r="G94" s="496"/>
      <c r="H94" s="496"/>
      <c r="I94" s="496"/>
      <c r="J94" s="496"/>
      <c r="K94" s="496"/>
      <c r="L94" s="496"/>
      <c r="M94" s="496"/>
      <c r="N94" s="496"/>
      <c r="O94" s="497"/>
      <c r="P94" s="1"/>
      <c r="Q94" s="1"/>
      <c r="R94" s="1"/>
      <c r="S94" s="1"/>
      <c r="T94" s="491" t="s">
        <v>98</v>
      </c>
      <c r="U94" s="490"/>
      <c r="V94" s="490"/>
      <c r="W94" s="490"/>
      <c r="X94" s="1"/>
      <c r="Y94" s="7">
        <f>'Mon Entreprise'!I114</f>
        <v>0</v>
      </c>
      <c r="Z94" s="133"/>
      <c r="AA94" s="21"/>
      <c r="AB94" s="7">
        <f>IF('Mon Entreprise'!I114-'Mon Entreprise'!M114&lt;0,0,'Mon Entreprise'!I114-'Mon Entreprise'!M114)</f>
        <v>0</v>
      </c>
      <c r="AC94" s="13"/>
      <c r="AD94" s="1"/>
      <c r="AE94" s="27">
        <f>IFERROR(1-'Mon Entreprise'!M114/'Mon Entreprise'!I114,0)</f>
        <v>0</v>
      </c>
    </row>
    <row r="95" spans="2:31" ht="15.75">
      <c r="B95" s="24"/>
      <c r="C95" s="24"/>
      <c r="D95" s="495"/>
      <c r="E95" s="496"/>
      <c r="F95" s="496"/>
      <c r="G95" s="496"/>
      <c r="H95" s="496"/>
      <c r="I95" s="496"/>
      <c r="J95" s="496"/>
      <c r="K95" s="496"/>
      <c r="L95" s="496"/>
      <c r="M95" s="496"/>
      <c r="N95" s="496"/>
      <c r="O95" s="497"/>
      <c r="P95" s="1"/>
      <c r="Q95" s="109"/>
      <c r="R95" s="1"/>
      <c r="S95" s="1"/>
      <c r="T95" s="491" t="s">
        <v>25</v>
      </c>
      <c r="U95" s="490"/>
      <c r="V95" s="490"/>
      <c r="W95" s="490"/>
      <c r="X95" s="1"/>
      <c r="Y95" s="7">
        <f>'Mon Entreprise'!I98</f>
        <v>0</v>
      </c>
      <c r="Z95" s="133"/>
      <c r="AA95" s="21"/>
      <c r="AB95" s="7">
        <f>IF('Mon Entreprise'!I98-'Mon Entreprise'!M114&lt;0,0,'Mon Entreprise'!I98-'Mon Entreprise'!M114)</f>
        <v>0</v>
      </c>
      <c r="AC95" s="36"/>
      <c r="AD95" s="1"/>
      <c r="AE95" s="27">
        <f>IFERROR(1-'Mon Entreprise'!M114/'Mon Entreprise'!I98,0)</f>
        <v>0</v>
      </c>
    </row>
    <row r="96" spans="2:31" ht="15.75" customHeight="1" thickBot="1">
      <c r="B96" s="24"/>
      <c r="C96" s="24"/>
      <c r="D96" s="498"/>
      <c r="E96" s="499"/>
      <c r="F96" s="499"/>
      <c r="G96" s="499"/>
      <c r="H96" s="499"/>
      <c r="I96" s="499"/>
      <c r="J96" s="499"/>
      <c r="K96" s="499"/>
      <c r="L96" s="499"/>
      <c r="M96" s="499"/>
      <c r="N96" s="499"/>
      <c r="O96" s="500"/>
      <c r="P96" s="1"/>
      <c r="Q96" s="1"/>
      <c r="R96" s="109"/>
      <c r="S96" s="109"/>
      <c r="T96" s="491" t="s">
        <v>22</v>
      </c>
      <c r="U96" s="490"/>
      <c r="V96" s="490"/>
      <c r="W96" s="490"/>
      <c r="X96" s="1"/>
      <c r="Y96" s="18" t="str">
        <f>IF('Mon Entreprise'!I176="","NC",'Mon Entreprise'!I176)</f>
        <v>NC</v>
      </c>
      <c r="Z96" s="134"/>
      <c r="AA96" s="21"/>
      <c r="AB96" s="37" t="str">
        <f>IFERROR(IF('Mon Entreprise'!I176-'Mon Entreprise'!M114&lt;0,0,'Mon Entreprise'!I176-'Mon Entreprise'!M114),"NC")</f>
        <v>NC</v>
      </c>
      <c r="AC96" s="135"/>
      <c r="AD96" s="1"/>
      <c r="AE96" s="28" t="str">
        <f>IFERROR(1-'Mon Entreprise'!M114/'Mon Entreprise'!I176,"NC")</f>
        <v>NC</v>
      </c>
    </row>
    <row r="97" spans="2:32" hidden="1">
      <c r="B97" s="8"/>
      <c r="C97" s="79"/>
      <c r="D97" s="79"/>
      <c r="E97" s="78"/>
      <c r="F97" s="78"/>
      <c r="G97" s="78"/>
      <c r="H97" s="78"/>
      <c r="I97" s="78"/>
      <c r="J97" s="78"/>
      <c r="K97" s="78"/>
      <c r="L97" s="78"/>
      <c r="M97" s="78"/>
      <c r="N97" s="78"/>
      <c r="O97" s="78"/>
      <c r="Q97" s="1"/>
      <c r="R97" s="1"/>
      <c r="S97" s="1"/>
      <c r="T97" s="164"/>
      <c r="U97" s="161"/>
      <c r="V97" s="161"/>
      <c r="W97" s="161"/>
      <c r="X97" s="1"/>
      <c r="Y97" s="18"/>
      <c r="Z97" s="23"/>
      <c r="AA97" s="21"/>
      <c r="AB97" s="37"/>
      <c r="AC97" s="161"/>
      <c r="AD97" s="1"/>
      <c r="AE97" s="28"/>
      <c r="AF97" s="99"/>
    </row>
    <row r="98" spans="2:32" hidden="1">
      <c r="Q98" s="1"/>
      <c r="R98" s="1"/>
      <c r="S98" s="1"/>
      <c r="T98" s="14"/>
      <c r="U98" s="1"/>
      <c r="V98" s="1"/>
      <c r="W98" s="1"/>
      <c r="X98" s="1"/>
      <c r="Y98" s="1"/>
      <c r="Z98" s="1"/>
      <c r="AA98" s="1"/>
      <c r="AB98" s="1"/>
      <c r="AC98" s="1"/>
      <c r="AD98" s="1"/>
      <c r="AE98" s="13"/>
    </row>
    <row r="99" spans="2:32" hidden="1">
      <c r="C99" s="60" t="s">
        <v>62</v>
      </c>
      <c r="D99" s="60"/>
      <c r="E99" s="60"/>
      <c r="F99" s="60"/>
      <c r="G99" s="60"/>
      <c r="H99" s="60"/>
      <c r="I99" s="60"/>
      <c r="J99" s="40"/>
      <c r="K99" s="40"/>
      <c r="L99" s="40"/>
      <c r="M99" s="40"/>
      <c r="N99" s="40"/>
      <c r="O99" s="40"/>
      <c r="R99" s="1"/>
      <c r="S99" s="1"/>
      <c r="T99" s="14"/>
      <c r="U99" s="506" t="s">
        <v>72</v>
      </c>
      <c r="V99" s="506"/>
      <c r="W99" s="506"/>
      <c r="X99" s="506"/>
      <c r="Y99" s="506"/>
      <c r="Z99" s="1"/>
      <c r="AA99" s="14"/>
      <c r="AB99" s="118" t="str">
        <f>IF('Mon Entreprise'!K8&lt;=Annexes!Q24,"Oui","Non")</f>
        <v>Oui</v>
      </c>
      <c r="AC99" s="1"/>
      <c r="AD99" s="1"/>
      <c r="AE99" s="13"/>
    </row>
    <row r="100" spans="2:32" hidden="1">
      <c r="C100" s="60"/>
      <c r="D100" s="60" t="str">
        <f>IFERROR(IF('Mon Entreprise'!K8&gt;=Annexes!O20,IF(AB94&gt;=AB96,"Le CA de référence est celui de Novembre 2019, soit une perte de "&amp;ROUND(AB94,0)&amp;" €"&amp;" ==&gt; "&amp;ROUND(AE94*100,0)&amp;" %","Le CA de référence est celui de la création, soit une perte de "&amp;ROUND(AB96,0)&amp;" €"&amp;" ==&gt; "&amp;ROUND(AE96*100,0)&amp;" %"),IF(AB94&gt;=AB95,"Le CA de référence est celui de Novembre 2019, soit une perte de "&amp;ROUND(AB94,0)&amp;" €"&amp;" ==&gt; "&amp;ROUND(AE94*100,0)&amp;" %","Le CA de référence est celui de l'exercice 2019, soit une perte de "&amp;ROUND(AB95,0)&amp;" €"&amp;" ==&gt; "&amp;ROUND(AE95*100,0)&amp;" %")),"")</f>
        <v>Le CA de référence est celui de Novembre 2019, soit une perte de 0 € ==&gt; 0 %</v>
      </c>
      <c r="E100" s="60"/>
      <c r="F100" s="60"/>
      <c r="G100" s="60"/>
      <c r="H100" s="60"/>
      <c r="I100" s="60"/>
      <c r="J100" s="40"/>
      <c r="K100" s="40"/>
      <c r="L100" s="40"/>
      <c r="M100" s="40"/>
      <c r="N100" s="40"/>
      <c r="O100" s="40"/>
      <c r="T100" s="14"/>
      <c r="U100" s="506" t="s">
        <v>84</v>
      </c>
      <c r="V100" s="506"/>
      <c r="W100" s="506"/>
      <c r="X100" s="506"/>
      <c r="Y100" s="506"/>
      <c r="Z100" s="1"/>
      <c r="AA100" s="14"/>
      <c r="AB100" s="118">
        <f>IF('Mon Entreprise'!K8&gt;=Annexes!O20,IF(AB94&gt;=AB96,AB94,AB96),IF(AB94&gt;=AB95,AB94,AB95))</f>
        <v>0</v>
      </c>
      <c r="AC100" s="1"/>
      <c r="AD100" s="1"/>
      <c r="AE100" s="13"/>
    </row>
    <row r="101" spans="2:32" ht="15" hidden="1" customHeight="1" thickBot="1">
      <c r="T101" s="14"/>
      <c r="U101" s="506" t="s">
        <v>85</v>
      </c>
      <c r="V101" s="506"/>
      <c r="W101" s="506"/>
      <c r="X101" s="506"/>
      <c r="Y101" s="506"/>
      <c r="Z101" s="1"/>
      <c r="AA101" s="14"/>
      <c r="AB101" s="19">
        <f>IF('Mon Entreprise'!K8&gt;=Annexes!O20,IF(AB94&gt;=AB96,AE94,AE96),IF(AB94&gt;=AB95,AE94,AE95))</f>
        <v>0</v>
      </c>
      <c r="AC101" s="1"/>
      <c r="AD101" s="1"/>
      <c r="AE101" s="13"/>
    </row>
    <row r="102" spans="2:32" ht="15" hidden="1" customHeight="1">
      <c r="D102" s="508" t="str">
        <f>IFERROR(IF(AB99="Non","Vous avez débuté votre activité après le 30 Septembre 2020, vous ne pouvez donc pas bénéficier de cette aide",IF(AB101&gt;=0.5,IF(AB100&gt;Annexes!O5,"Dans votre cas, l'aide est Plafonnée, à "&amp;Annexes!O5&amp;" € pour le mois de novembre","Vous pouvez bénéficier, au titre de cette aide, d'un montant de "&amp;ROUND(AB100,0)&amp;" € pour le mois de novembre"),"L'entreprise n'a pas une perte d'au moins 50 % en novembre 2020")),"Vous n'avez pas indiqué de chiffre d'affaires de référence")</f>
        <v>L'entreprise n'a pas une perte d'au moins 50 % en novembre 2020</v>
      </c>
      <c r="E102" s="509"/>
      <c r="F102" s="509"/>
      <c r="G102" s="509"/>
      <c r="H102" s="509"/>
      <c r="I102" s="509"/>
      <c r="J102" s="509"/>
      <c r="K102" s="509"/>
      <c r="L102" s="509"/>
      <c r="M102" s="509"/>
      <c r="N102" s="509"/>
      <c r="O102" s="510"/>
      <c r="T102" s="14"/>
      <c r="U102" s="162"/>
      <c r="V102" s="162"/>
      <c r="W102" s="162"/>
      <c r="X102" s="162"/>
      <c r="Y102" s="162"/>
      <c r="Z102" s="1"/>
      <c r="AA102" s="1"/>
      <c r="AB102" s="19"/>
      <c r="AC102" s="1"/>
      <c r="AD102" s="1"/>
      <c r="AE102" s="13"/>
    </row>
    <row r="103" spans="2:32" ht="15" hidden="1" customHeight="1">
      <c r="D103" s="511"/>
      <c r="E103" s="512"/>
      <c r="F103" s="512"/>
      <c r="G103" s="512"/>
      <c r="H103" s="512"/>
      <c r="I103" s="512"/>
      <c r="J103" s="512"/>
      <c r="K103" s="512"/>
      <c r="L103" s="512"/>
      <c r="M103" s="512"/>
      <c r="N103" s="512"/>
      <c r="O103" s="513"/>
      <c r="T103" s="14"/>
      <c r="U103" s="162"/>
      <c r="V103" s="162"/>
      <c r="W103" s="162"/>
      <c r="X103" s="162"/>
      <c r="Y103" s="162"/>
      <c r="Z103" s="1"/>
      <c r="AA103" s="1"/>
      <c r="AB103" s="19"/>
      <c r="AC103" s="1"/>
      <c r="AD103" s="1"/>
      <c r="AE103" s="13"/>
    </row>
    <row r="104" spans="2:32" ht="15" hidden="1" customHeight="1">
      <c r="D104" s="511"/>
      <c r="E104" s="512"/>
      <c r="F104" s="512"/>
      <c r="G104" s="512"/>
      <c r="H104" s="512"/>
      <c r="I104" s="512"/>
      <c r="J104" s="512"/>
      <c r="K104" s="512"/>
      <c r="L104" s="512"/>
      <c r="M104" s="512"/>
      <c r="N104" s="512"/>
      <c r="O104" s="513"/>
      <c r="T104" s="14"/>
      <c r="U104" s="490"/>
      <c r="V104" s="490"/>
      <c r="W104" s="490"/>
      <c r="X104" s="490"/>
      <c r="Y104" s="490"/>
      <c r="Z104" s="1"/>
      <c r="AA104" s="1"/>
      <c r="AB104" s="118"/>
      <c r="AC104" s="1"/>
      <c r="AD104" s="1"/>
      <c r="AE104" s="13"/>
    </row>
    <row r="105" spans="2:32" ht="15" hidden="1" customHeight="1" thickBot="1">
      <c r="D105" s="514"/>
      <c r="E105" s="515"/>
      <c r="F105" s="515"/>
      <c r="G105" s="515"/>
      <c r="H105" s="515"/>
      <c r="I105" s="515"/>
      <c r="J105" s="515"/>
      <c r="K105" s="515"/>
      <c r="L105" s="515"/>
      <c r="M105" s="515"/>
      <c r="N105" s="515"/>
      <c r="O105" s="516"/>
      <c r="T105" s="14"/>
      <c r="U105" s="1"/>
      <c r="V105" s="1"/>
      <c r="W105" s="1"/>
      <c r="X105" s="1"/>
      <c r="Y105" s="1"/>
      <c r="Z105" s="1"/>
      <c r="AA105" s="1"/>
      <c r="AB105" s="118"/>
      <c r="AC105" s="1"/>
      <c r="AD105" s="1"/>
      <c r="AE105" s="13"/>
    </row>
    <row r="106" spans="2:32" ht="15" hidden="1" customHeight="1">
      <c r="C106" s="78"/>
      <c r="D106" s="78"/>
      <c r="E106" s="78"/>
      <c r="F106" s="78"/>
      <c r="G106" s="78"/>
      <c r="H106" s="78"/>
      <c r="I106" s="78"/>
      <c r="J106" s="78"/>
      <c r="K106" s="78"/>
      <c r="L106" s="78"/>
      <c r="M106" s="78"/>
      <c r="N106" s="78"/>
      <c r="O106" s="78"/>
      <c r="T106" s="536" t="s">
        <v>4</v>
      </c>
      <c r="U106" s="521"/>
      <c r="V106" s="521"/>
      <c r="W106" s="521"/>
      <c r="X106" s="521"/>
      <c r="Y106" s="521"/>
      <c r="Z106" s="1"/>
      <c r="AA106" s="14"/>
      <c r="AB106" s="132">
        <f>IFERROR(IF('Mon Entreprise'!K8&lt;Annexes!O17,IF(IFERROR(1-'Mon Entreprise'!M118/'Mon Entreprise'!I118,0)&gt;=IFERROR(1-'Mon Entreprise'!M118/('Mon Entreprise'!I98*2),0),1-'Mon Entreprise'!M118/'Mon Entreprise'!I118,1-'Mon Entreprise'!M118/('Mon Entreprise'!I98*2)),1-'Mon Entreprise'!M118/'Mon Entreprise'!I190),0)</f>
        <v>0</v>
      </c>
      <c r="AC106" s="1"/>
      <c r="AD106" s="1"/>
      <c r="AE106" s="13"/>
    </row>
    <row r="107" spans="2:32" ht="15.75" hidden="1" customHeight="1">
      <c r="T107" s="14"/>
      <c r="U107" s="521" t="s">
        <v>8</v>
      </c>
      <c r="V107" s="521"/>
      <c r="W107" s="521"/>
      <c r="X107" s="521"/>
      <c r="Y107" s="521"/>
      <c r="Z107" s="1"/>
      <c r="AA107" s="14"/>
      <c r="AB107" s="19" t="str">
        <f>IF((AND(Annexes!F5&gt;1,Annexes!F5&lt;=Annexes!H6)),"OUI","NON")</f>
        <v>NON</v>
      </c>
      <c r="AC107" s="1"/>
      <c r="AD107" s="1"/>
      <c r="AE107" s="13"/>
    </row>
    <row r="108" spans="2:32" ht="15" hidden="1" customHeight="1">
      <c r="C108" s="547" t="s">
        <v>101</v>
      </c>
      <c r="D108" s="547"/>
      <c r="E108" s="547"/>
      <c r="F108" s="547"/>
      <c r="G108" s="547"/>
      <c r="H108" s="547"/>
      <c r="I108" s="547"/>
      <c r="J108" s="547"/>
      <c r="K108" s="547"/>
      <c r="L108" s="547"/>
      <c r="M108" s="547"/>
      <c r="N108" s="547"/>
      <c r="O108" s="547"/>
      <c r="P108" s="40"/>
      <c r="T108" s="14"/>
      <c r="U108" s="490" t="s">
        <v>9</v>
      </c>
      <c r="V108" s="490"/>
      <c r="W108" s="490"/>
      <c r="X108" s="490"/>
      <c r="Y108" s="490"/>
      <c r="Z108" s="1"/>
      <c r="AA108" s="14"/>
      <c r="AB108" s="19" t="str">
        <f>IF((AND(Annexes!F7&gt;1,Annexes!F7&lt;=Annexes!H8)),"OUI","NON")</f>
        <v>NON</v>
      </c>
      <c r="AC108" s="1"/>
      <c r="AD108" s="1"/>
      <c r="AE108" s="13"/>
    </row>
    <row r="109" spans="2:32" ht="15" hidden="1" customHeight="1">
      <c r="C109" s="547"/>
      <c r="D109" s="547"/>
      <c r="E109" s="547"/>
      <c r="F109" s="547"/>
      <c r="G109" s="547"/>
      <c r="H109" s="547"/>
      <c r="I109" s="547"/>
      <c r="J109" s="547"/>
      <c r="K109" s="547"/>
      <c r="L109" s="547"/>
      <c r="M109" s="547"/>
      <c r="N109" s="547"/>
      <c r="O109" s="547"/>
      <c r="P109" s="40"/>
      <c r="Q109" s="40"/>
      <c r="T109" s="14"/>
      <c r="U109" s="490" t="s">
        <v>12</v>
      </c>
      <c r="V109" s="490"/>
      <c r="W109" s="490"/>
      <c r="X109" s="490"/>
      <c r="Y109" s="490"/>
      <c r="Z109" s="1"/>
      <c r="AA109" s="14"/>
      <c r="AB109" s="19" t="b">
        <f>Annexes!M11</f>
        <v>0</v>
      </c>
      <c r="AC109" s="1"/>
      <c r="AD109" s="1"/>
      <c r="AE109" s="13"/>
    </row>
    <row r="110" spans="2:32" ht="15.75" hidden="1" customHeight="1">
      <c r="C110" s="60"/>
      <c r="E110" s="547" t="str">
        <f>IF('Mon Entreprise'!K8&gt;Annexes!Q24,"",IF(OR(AB107="OUI",AND(AB108="OUI",AB106&gt;=Annexes!P5),AB109=TRUE),"",IF(AND(AB108="OUI",AB106&lt;Annexes!P5),"L'entreprise fait partie des entreprises mentionnées en annexe 2 du décret mais n'a pas eu une perte de CA d'au-Moins 80 %, entre le 15/03/2020 et le 15/05/2020","L'entreprise ne fait pas partie des entreprises ayant une fermeture administrative et ne fait pas partie des activités mentionnées aux annexes 1 et 2 du décret")))</f>
        <v>L'entreprise ne fait pas partie des entreprises ayant une fermeture administrative et ne fait pas partie des activités mentionnées aux annexes 1 et 2 du décret</v>
      </c>
      <c r="F110" s="547"/>
      <c r="G110" s="547"/>
      <c r="H110" s="547"/>
      <c r="I110" s="547"/>
      <c r="J110" s="547"/>
      <c r="K110" s="547"/>
      <c r="L110" s="547"/>
      <c r="M110" s="547"/>
      <c r="N110" s="547"/>
      <c r="O110" s="547"/>
      <c r="P110" s="40"/>
      <c r="Q110" s="40"/>
      <c r="T110" s="14"/>
      <c r="U110" s="506" t="s">
        <v>72</v>
      </c>
      <c r="V110" s="506"/>
      <c r="W110" s="506"/>
      <c r="X110" s="506"/>
      <c r="Y110" s="506"/>
      <c r="Z110" s="1"/>
      <c r="AA110" s="14"/>
      <c r="AB110" s="118" t="str">
        <f>IF('Mon Entreprise'!K8&lt;=Annexes!Q24,"Oui","Non")</f>
        <v>Oui</v>
      </c>
      <c r="AC110" s="1"/>
      <c r="AD110" s="1"/>
      <c r="AE110" s="13"/>
    </row>
    <row r="111" spans="2:32" ht="15" hidden="1" customHeight="1">
      <c r="C111" s="60"/>
      <c r="D111" s="131"/>
      <c r="E111" s="547"/>
      <c r="F111" s="547"/>
      <c r="G111" s="547"/>
      <c r="H111" s="547"/>
      <c r="I111" s="547"/>
      <c r="J111" s="547"/>
      <c r="K111" s="547"/>
      <c r="L111" s="547"/>
      <c r="M111" s="547"/>
      <c r="N111" s="547"/>
      <c r="O111" s="547"/>
      <c r="P111" s="40"/>
      <c r="Q111" s="40"/>
      <c r="T111" s="14"/>
      <c r="U111" s="506" t="s">
        <v>84</v>
      </c>
      <c r="V111" s="506"/>
      <c r="W111" s="506"/>
      <c r="X111" s="506"/>
      <c r="Y111" s="506"/>
      <c r="Z111" s="1"/>
      <c r="AA111" s="14"/>
      <c r="AB111" s="118">
        <f>IF('Mon Entreprise'!K8&gt;=Annexes!O20,IF(AB94&gt;=AB96,AB94,AB96),IF(AB94&gt;=AB95,AB94,AB95))</f>
        <v>0</v>
      </c>
      <c r="AC111" s="1"/>
      <c r="AD111" s="1"/>
      <c r="AE111" s="13"/>
    </row>
    <row r="112" spans="2:32" ht="15" hidden="1" customHeight="1">
      <c r="C112" s="60"/>
      <c r="D112" s="60" t="str">
        <f>IFERROR(IF('Mon Entreprise'!K8&gt;=Annexes!O20,IF(AB94&gt;=AB96,"- Le CA de référence est celui de Novembre 2019, soit une perte de "&amp;ROUND(AB94,0)&amp;" €"&amp;" ==&gt; "&amp;ROUND(AE94*100,0)&amp;" %","- Le CA de référence est celui de la création, soit une perte de "&amp;ROUND(AB96,0)&amp;" €"&amp;" ==&gt; "&amp;ROUND(AE96*100,0)&amp;" %"),IF(AB94&gt;=AB95,"- Le CA de référence est celui de Novembre 2019, soit une perte de "&amp;ROUND(AB94,0)&amp;" €"&amp;" ==&gt; "&amp;ROUND(AE94*100,0)&amp;" %","- Le CA de référence est celui de l'exercice 2019, soit une perte de "&amp;ROUND(AB95,0)&amp;" €"&amp;" ==&gt; "&amp;ROUND(AE95*100,0)&amp;" %")),"")</f>
        <v>- Le CA de référence est celui de Novembre 2019, soit une perte de 0 € ==&gt; 0 %</v>
      </c>
      <c r="E112" s="60"/>
      <c r="F112" s="60"/>
      <c r="G112" s="60"/>
      <c r="H112" s="60"/>
      <c r="I112" s="60"/>
      <c r="J112" s="60"/>
      <c r="K112" s="60"/>
      <c r="L112" s="60"/>
      <c r="M112" s="60"/>
      <c r="N112" s="60"/>
      <c r="O112" s="60"/>
      <c r="P112" s="40"/>
      <c r="Q112" s="40"/>
      <c r="R112" s="40"/>
      <c r="T112" s="14"/>
      <c r="U112" s="506" t="s">
        <v>85</v>
      </c>
      <c r="V112" s="506"/>
      <c r="W112" s="506"/>
      <c r="X112" s="506"/>
      <c r="Y112" s="506"/>
      <c r="Z112" s="1"/>
      <c r="AA112" s="14"/>
      <c r="AB112" s="19">
        <f>IF('Mon Entreprise'!K8&gt;=Annexes!O20,IF(AB94&gt;=AB96,AE94,AE96),IF(AB94&gt;=AB95,AE94,AE95))</f>
        <v>0</v>
      </c>
      <c r="AC112" s="1"/>
      <c r="AD112" s="1"/>
      <c r="AE112" s="13"/>
    </row>
    <row r="113" spans="2:31" ht="15" hidden="1" customHeight="1">
      <c r="C113" s="40"/>
      <c r="D113" s="60" t="str">
        <f>IF(OR(AB107="OUI",AB109=TRUE),"- Sans ticket modérateur",IF(AND(AB108="OUI",AB106&gt;=0.8),"- La Perte de référence est plafonnée à 80 %, soit "&amp;ROUND(AB115,0)&amp;" €","- Sans ticket modérateur"))</f>
        <v>- Sans ticket modérateur</v>
      </c>
      <c r="E113" s="40"/>
      <c r="F113" s="40"/>
      <c r="G113" s="40"/>
      <c r="H113" s="40"/>
      <c r="I113" s="40"/>
      <c r="J113" s="40"/>
      <c r="K113" s="40"/>
      <c r="M113" s="40"/>
      <c r="N113" s="40"/>
      <c r="O113" s="40"/>
      <c r="P113" s="40"/>
      <c r="Q113" s="40"/>
      <c r="R113" s="40"/>
      <c r="T113" s="14"/>
      <c r="U113" s="490" t="s">
        <v>74</v>
      </c>
      <c r="V113" s="490"/>
      <c r="W113" s="490"/>
      <c r="X113" s="490"/>
      <c r="Y113" s="490"/>
      <c r="Z113" s="1"/>
      <c r="AA113" s="14"/>
      <c r="AB113" s="55">
        <f>IF(OR(AB107="OUI",AB109=TRUE),1,IF(AND(AB108="OUI",AB106&gt;=0.8),0.8,1))</f>
        <v>1</v>
      </c>
      <c r="AC113" s="1"/>
      <c r="AD113" s="1"/>
      <c r="AE113" s="13"/>
    </row>
    <row r="114" spans="2:31" ht="15" hidden="1" customHeight="1" thickBot="1">
      <c r="Q114" s="40"/>
      <c r="R114" s="40"/>
      <c r="T114" s="14"/>
      <c r="U114" s="490" t="s">
        <v>80</v>
      </c>
      <c r="V114" s="490"/>
      <c r="W114" s="490"/>
      <c r="X114" s="490"/>
      <c r="Y114" s="490"/>
      <c r="Z114" s="1"/>
      <c r="AA114" s="14"/>
      <c r="AB114" s="179">
        <f>IF('Mon Entreprise'!K8&gt;=Annexes!O20,IF(AB94&gt;=AB96,Y94,Y96),IF(AB94&gt;=AB95,Y94,Y95))</f>
        <v>0</v>
      </c>
      <c r="AC114" s="1"/>
      <c r="AD114" s="1"/>
      <c r="AE114" s="13"/>
    </row>
    <row r="115" spans="2:31" ht="15" hidden="1" customHeight="1">
      <c r="D115" s="508" t="str">
        <f>IFERROR(IF('Mon Entreprise'!K8&gt;Annexes!Q24,"Vous avez débuté votre activité après le 30 Septembre 2020, vous ne pouvez donc pas bénéficier de cette aide",IF(AB109=TRUE,IF(AB115&gt;Annexes!O6,"Dans votre cas, l'aide est Plafonnée, à "&amp;Annexes!O6&amp;" € pour le mois de Novembre","Vous pouvez bénéficier, au titre de cette aide, d'un montant de "&amp;ROUND(AB115,0)&amp;" € pour le mois de novembre"),IF(AB112&gt;=0.5,IF(OR(AB107="OUI",AND(AB108="OUI",AB106&gt;=Annexes!P5)),IF(AB115&gt;Annexes!O6,"Dans votre cas, l'aide est Plafonnée, à "&amp;Annexes!O6&amp;" € pour le mois de Novembre","Vous pouvez bénéficier, au titre de cette aide, d'un montant de "&amp;ROUND(AB115,0)&amp;" € pour le mois de novembre"),IF(AND(AB108="OUI",AB106&lt;Annexes!P5),"L'entreprise fait partie des entreprises mentionnées en annexe 2 du décret, mais n'a pas eu une perte de CA d'au-Moins 80 % entre le 15/03/2020 et le 15/05/2020","L'entreprise ne fait pas partie des entreprises ayant une fermeture administrative et ne fait pas partie des activités mentionnées aux annexes 1 et 2 du décret")),"L'entreprise n'a pas une perte d'au moins 50 % en novembre 2020"))),"Vous n'avez pas indiqué de chiffre d'affaires de référence")</f>
        <v>L'entreprise n'a pas une perte d'au moins 50 % en novembre 2020</v>
      </c>
      <c r="E115" s="509"/>
      <c r="F115" s="509"/>
      <c r="G115" s="509"/>
      <c r="H115" s="509"/>
      <c r="I115" s="509"/>
      <c r="J115" s="509"/>
      <c r="K115" s="509"/>
      <c r="L115" s="509"/>
      <c r="M115" s="509"/>
      <c r="N115" s="509"/>
      <c r="O115" s="510"/>
      <c r="Q115" s="40"/>
      <c r="R115" s="40"/>
      <c r="T115" s="14"/>
      <c r="U115" s="490" t="s">
        <v>104</v>
      </c>
      <c r="V115" s="490"/>
      <c r="W115" s="490"/>
      <c r="X115" s="490"/>
      <c r="Y115" s="490"/>
      <c r="Z115" s="1"/>
      <c r="AA115" s="14"/>
      <c r="AB115" s="118">
        <f>IF(AB113=1,AB111,IF(AB111*AB113&gt;1500,IF(AB111&gt;1500,AB111*AB113,"Impossible"),IF(AB111&lt;1500,AB111,1500)))</f>
        <v>0</v>
      </c>
      <c r="AC115" s="1"/>
      <c r="AD115" s="1"/>
      <c r="AE115" s="13"/>
    </row>
    <row r="116" spans="2:31" ht="15" hidden="1" customHeight="1">
      <c r="D116" s="511"/>
      <c r="E116" s="512"/>
      <c r="F116" s="512"/>
      <c r="G116" s="512"/>
      <c r="H116" s="512"/>
      <c r="I116" s="512"/>
      <c r="J116" s="512"/>
      <c r="K116" s="512"/>
      <c r="L116" s="512"/>
      <c r="M116" s="512"/>
      <c r="N116" s="512"/>
      <c r="O116" s="513"/>
      <c r="Q116" s="40"/>
      <c r="R116" s="40"/>
      <c r="T116" s="14"/>
      <c r="U116" s="148"/>
      <c r="V116" s="148"/>
      <c r="W116" s="148"/>
      <c r="X116" s="148"/>
      <c r="Y116" s="148"/>
      <c r="Z116" s="1"/>
      <c r="AA116" s="1"/>
      <c r="AB116" s="148"/>
      <c r="AC116" s="1"/>
      <c r="AD116" s="1"/>
      <c r="AE116" s="13"/>
    </row>
    <row r="117" spans="2:31" ht="15" hidden="1" customHeight="1">
      <c r="D117" s="511"/>
      <c r="E117" s="512"/>
      <c r="F117" s="512"/>
      <c r="G117" s="512"/>
      <c r="H117" s="512"/>
      <c r="I117" s="512"/>
      <c r="J117" s="512"/>
      <c r="K117" s="512"/>
      <c r="L117" s="512"/>
      <c r="M117" s="512"/>
      <c r="N117" s="512"/>
      <c r="O117" s="513"/>
      <c r="Q117" s="40"/>
      <c r="R117" s="40"/>
      <c r="T117" s="14"/>
      <c r="U117" s="490" t="s">
        <v>82</v>
      </c>
      <c r="V117" s="490"/>
      <c r="W117" s="490"/>
      <c r="X117" s="490"/>
      <c r="Y117" s="490"/>
      <c r="Z117" s="1"/>
      <c r="AA117" s="14"/>
      <c r="AB117" s="118">
        <f>IF(AB99="Non",0,IF(AB101&gt;=0.5,IF(AB100&gt;Annexes!O5,Annexes!O5,ROUND(AB100,0)),0))</f>
        <v>0</v>
      </c>
      <c r="AC117" s="1"/>
      <c r="AD117" s="1"/>
      <c r="AE117" s="13"/>
    </row>
    <row r="118" spans="2:31" ht="15" hidden="1" customHeight="1" thickBot="1">
      <c r="D118" s="514"/>
      <c r="E118" s="515"/>
      <c r="F118" s="515"/>
      <c r="G118" s="515"/>
      <c r="H118" s="515"/>
      <c r="I118" s="515"/>
      <c r="J118" s="515"/>
      <c r="K118" s="515"/>
      <c r="L118" s="515"/>
      <c r="M118" s="515"/>
      <c r="N118" s="515"/>
      <c r="O118" s="516"/>
      <c r="R118" s="40"/>
      <c r="T118" s="14"/>
      <c r="U118" s="490" t="s">
        <v>81</v>
      </c>
      <c r="V118" s="490"/>
      <c r="W118" s="490"/>
      <c r="X118" s="490"/>
      <c r="Y118" s="490"/>
      <c r="Z118" s="1"/>
      <c r="AA118" s="14"/>
      <c r="AB118" s="118">
        <f>IFERROR(IF('Mon Entreprise'!K8&gt;Annexes!Q24,0,IF(AB109=TRUE,IF(AB115&gt;Annexes!O6,Annexes!O6,ROUND(AB115,0)),IF(AB112&gt;=0.5,IF(OR(AB107="OUI",AND(AB108="OUI",AB106&gt;=Annexes!P5),AB109=TRUE),IF(AB115&gt;Annexes!O6,Annexes!O6,ROUND(AB115,0)),IF(AND(AB108="OUI",AB106&lt;Annexes!P5),0,0)),0))),0)</f>
        <v>0</v>
      </c>
      <c r="AC118" s="1"/>
      <c r="AD118" s="1"/>
      <c r="AE118" s="13"/>
    </row>
    <row r="119" spans="2:31" ht="15" hidden="1" customHeight="1">
      <c r="D119" s="530" t="str">
        <f>IF(AND(Annexes!F7&gt;=89,Annexes!F7&lt;=92),"Les entreprises dont l'activité principale est mentionné au 86 à 89 de l'annexe 2 (S1 bis) peut bénéficier de cette aide rétro-activement, au titre de l'Art 3-20 du décret 2021-129."&amp;"  Le cas échéant, l’aide perçue au titre de l’Art. 3-14, si elle a déjà été demandée, vient en diminution de la présente aide complémentaire.",IF(Annexes!F7=109,"Les entreprises dont l'activité principale est mentionné au 106 de l'annexe 2 (S1 bis) peut bénéficier de cette aide rétro-activement, au titre de l'Art 3-21 du décret 2021-192."&amp;"  Le cas échéant, l’aide perçue au titre de l’Art. 3-14, si elle a déjà été demandée, vient en diminution de la présente aide complémentaire.",""))</f>
        <v/>
      </c>
      <c r="E119" s="530"/>
      <c r="F119" s="530"/>
      <c r="G119" s="530"/>
      <c r="H119" s="530"/>
      <c r="I119" s="530"/>
      <c r="J119" s="530"/>
      <c r="K119" s="530"/>
      <c r="L119" s="530"/>
      <c r="M119" s="530"/>
      <c r="N119" s="530"/>
      <c r="O119" s="530"/>
      <c r="R119" s="40"/>
      <c r="T119" s="14"/>
      <c r="U119" s="291"/>
      <c r="V119" s="291"/>
      <c r="W119" s="291"/>
      <c r="X119" s="291"/>
      <c r="Y119" s="291"/>
      <c r="Z119" s="1"/>
      <c r="AA119" s="1"/>
      <c r="AB119" s="291"/>
      <c r="AC119" s="1"/>
      <c r="AD119" s="1"/>
      <c r="AE119" s="13"/>
    </row>
    <row r="120" spans="2:31" ht="15" hidden="1" customHeight="1">
      <c r="D120" s="531"/>
      <c r="E120" s="531"/>
      <c r="F120" s="531"/>
      <c r="G120" s="531"/>
      <c r="H120" s="531"/>
      <c r="I120" s="531"/>
      <c r="J120" s="531"/>
      <c r="K120" s="531"/>
      <c r="L120" s="531"/>
      <c r="M120" s="531"/>
      <c r="N120" s="531"/>
      <c r="O120" s="531"/>
      <c r="R120" s="40"/>
      <c r="T120" s="14"/>
      <c r="U120" s="300"/>
      <c r="V120" s="300"/>
      <c r="W120" s="300"/>
      <c r="X120" s="300"/>
      <c r="Y120" s="300"/>
      <c r="Z120" s="1"/>
      <c r="AA120" s="1"/>
      <c r="AB120" s="300"/>
      <c r="AC120" s="1"/>
      <c r="AD120" s="1"/>
      <c r="AE120" s="13"/>
    </row>
    <row r="121" spans="2:31">
      <c r="R121" s="40"/>
      <c r="T121" s="15"/>
      <c r="U121" s="10"/>
      <c r="V121" s="10"/>
      <c r="W121" s="10"/>
      <c r="X121" s="10"/>
      <c r="Y121" s="10"/>
      <c r="Z121" s="10"/>
      <c r="AA121" s="10"/>
      <c r="AB121" s="10"/>
      <c r="AC121" s="10"/>
      <c r="AD121" s="10"/>
      <c r="AE121" s="4"/>
    </row>
    <row r="122" spans="2:31" ht="15" customHeight="1" thickBot="1">
      <c r="B122" s="220"/>
      <c r="C122" s="488" t="s">
        <v>95</v>
      </c>
      <c r="D122" s="488"/>
      <c r="E122" s="488"/>
      <c r="F122" s="488"/>
      <c r="G122" s="488"/>
      <c r="H122" s="488"/>
      <c r="I122" s="221"/>
      <c r="J122" s="221"/>
      <c r="K122" s="221"/>
      <c r="L122" s="221"/>
      <c r="M122" s="221"/>
      <c r="N122" s="221"/>
      <c r="O122" s="221"/>
      <c r="T122" s="16"/>
      <c r="U122" s="11"/>
      <c r="V122" s="11"/>
      <c r="W122" s="11"/>
      <c r="X122" s="11"/>
      <c r="Y122" s="11"/>
      <c r="Z122" s="11"/>
      <c r="AA122" s="11"/>
      <c r="AB122" s="11"/>
      <c r="AC122" s="11"/>
      <c r="AD122" s="11"/>
      <c r="AE122" s="12"/>
    </row>
    <row r="123" spans="2:31" ht="15" customHeight="1">
      <c r="B123" s="63"/>
      <c r="C123" s="24"/>
      <c r="D123" s="24"/>
      <c r="E123" s="24"/>
      <c r="F123" s="24"/>
      <c r="G123" s="24"/>
      <c r="H123" s="24"/>
      <c r="I123" s="1"/>
      <c r="J123" s="1"/>
      <c r="K123" s="1"/>
      <c r="L123" s="1"/>
      <c r="M123" s="1"/>
      <c r="N123" s="1"/>
      <c r="O123" s="1"/>
      <c r="T123" s="14"/>
      <c r="U123" s="1"/>
      <c r="V123" s="1"/>
      <c r="W123" s="1"/>
      <c r="X123" s="1"/>
      <c r="Y123" s="1"/>
      <c r="Z123" s="1"/>
      <c r="AA123" s="1"/>
      <c r="AB123" s="1"/>
      <c r="AC123" s="1"/>
      <c r="AD123" s="1"/>
      <c r="AE123" s="13"/>
    </row>
    <row r="124" spans="2:31" ht="15" customHeight="1">
      <c r="B124" s="103"/>
      <c r="C124" s="489" t="s">
        <v>115</v>
      </c>
      <c r="D124" s="489"/>
      <c r="E124" s="489"/>
      <c r="F124" s="489"/>
      <c r="G124" s="489"/>
      <c r="H124" s="489"/>
      <c r="I124" s="489"/>
      <c r="J124" s="489"/>
      <c r="K124" s="489"/>
      <c r="L124" s="489"/>
      <c r="M124" s="489"/>
      <c r="N124" s="489"/>
      <c r="O124" s="489"/>
      <c r="P124" s="1"/>
      <c r="T124" s="25"/>
      <c r="U124" s="490" t="s">
        <v>20</v>
      </c>
      <c r="V124" s="490"/>
      <c r="W124" s="490"/>
      <c r="X124" s="1"/>
      <c r="Y124" s="165" t="s">
        <v>6</v>
      </c>
      <c r="Z124" s="165"/>
      <c r="AA124" s="165"/>
      <c r="AB124" s="165" t="s">
        <v>23</v>
      </c>
      <c r="AC124" s="165"/>
      <c r="AD124" s="165"/>
      <c r="AE124" s="26" t="s">
        <v>24</v>
      </c>
    </row>
    <row r="125" spans="2:31" ht="15.75" customHeight="1">
      <c r="B125" s="103"/>
      <c r="C125" s="190"/>
      <c r="D125" s="60" t="s">
        <v>26</v>
      </c>
      <c r="E125" s="190"/>
      <c r="F125" s="190"/>
      <c r="G125" s="190"/>
      <c r="H125" s="190"/>
      <c r="I125" s="190"/>
      <c r="J125" s="190"/>
      <c r="K125" s="190"/>
      <c r="L125" s="190"/>
      <c r="M125" s="190"/>
      <c r="N125" s="190"/>
      <c r="O125" s="190"/>
      <c r="P125" s="1"/>
      <c r="T125" s="25"/>
      <c r="U125" s="165"/>
      <c r="V125" s="165"/>
      <c r="W125" s="165"/>
      <c r="X125" s="1"/>
      <c r="Y125" s="165"/>
      <c r="Z125" s="165"/>
      <c r="AA125" s="165"/>
      <c r="AB125" s="165"/>
      <c r="AC125" s="165"/>
      <c r="AD125" s="165"/>
      <c r="AE125" s="26"/>
    </row>
    <row r="126" spans="2:31" ht="16.5" thickBot="1">
      <c r="B126" s="103"/>
      <c r="C126" s="163"/>
      <c r="D126" s="60"/>
      <c r="E126" s="163"/>
      <c r="F126" s="163"/>
      <c r="G126" s="163"/>
      <c r="H126" s="163"/>
      <c r="I126" s="163"/>
      <c r="J126" s="163"/>
      <c r="K126" s="163"/>
      <c r="L126" s="163"/>
      <c r="M126" s="163"/>
      <c r="N126" s="163"/>
      <c r="O126" s="163"/>
      <c r="P126" s="1"/>
      <c r="T126" s="491" t="s">
        <v>99</v>
      </c>
      <c r="U126" s="490"/>
      <c r="V126" s="490"/>
      <c r="W126" s="490"/>
      <c r="X126" s="1"/>
      <c r="Y126" s="7">
        <f>'Mon Entreprise'!I116</f>
        <v>0</v>
      </c>
      <c r="Z126" s="133"/>
      <c r="AA126" s="21"/>
      <c r="AB126" s="7">
        <f>IF('Mon Entreprise'!I116-'Mon Entreprise'!M116&lt;0,0,'Mon Entreprise'!I116-'Mon Entreprise'!M116)</f>
        <v>0</v>
      </c>
      <c r="AC126" s="13"/>
      <c r="AD126" s="1"/>
      <c r="AE126" s="27">
        <f>IFERROR(1-'Mon Entreprise'!M116/'Mon Entreprise'!I116,0)</f>
        <v>0</v>
      </c>
    </row>
    <row r="127" spans="2:31" ht="15.75">
      <c r="B127" s="103"/>
      <c r="C127" s="163"/>
      <c r="D127" s="492" t="str">
        <f>IFERROR(IF(AND(AB160=0,AB161=0,AB162=0),"Vous ne pouvez pas bénéficier du fonds de solidarité pour le mois de Décembre 2020",IF(AND(AB162&gt;AB161,AB162&gt;AB160),"Votre entreprise peut bénéficier d'une aide de "&amp;AB162&amp;" €, au titre d'une fermeture Administrative, ou d'une perte d'au moins 50 % ou 70 % du CA pour les activités mentionnées en annexe 1, ou d'une perte d'au moins 70 % du CA pour les activités mentionnées en annexe 2 ou 3",IF(AB161&gt;AB160,"Votre entreprise peut bénéficier d'une aide de "&amp;AB161&amp;" €, au titre d'une fermeture Administrative, ou d'une perte d'au moins 50 % du CA pour les activités mentionnées en annexe 1, ou en annexe 2 ou 3 ayant une perte de CA d'au moins 80 % entre le 15/03/2020 et le 15/05/2020 ou au moins de Novembre 2020","Votre entreprise peut bénéficier d'une aide de "&amp;AB160&amp;" €, au titre d'une perte d'au-moins 50 % de votre CA en Décembre 2020"))),"Vous n'avez pas indiqué de chiffre d'affaires de référence")</f>
        <v>Vous ne pouvez pas bénéficier du fonds de solidarité pour le mois de Décembre 2020</v>
      </c>
      <c r="E127" s="493"/>
      <c r="F127" s="493"/>
      <c r="G127" s="493"/>
      <c r="H127" s="493"/>
      <c r="I127" s="493"/>
      <c r="J127" s="493"/>
      <c r="K127" s="493"/>
      <c r="L127" s="493"/>
      <c r="M127" s="493"/>
      <c r="N127" s="493"/>
      <c r="O127" s="494"/>
      <c r="P127" s="1"/>
      <c r="T127" s="491" t="s">
        <v>25</v>
      </c>
      <c r="U127" s="490"/>
      <c r="V127" s="490"/>
      <c r="W127" s="490"/>
      <c r="X127" s="1"/>
      <c r="Y127" s="7">
        <f>'Mon Entreprise'!I98</f>
        <v>0</v>
      </c>
      <c r="Z127" s="133"/>
      <c r="AA127" s="21"/>
      <c r="AB127" s="7">
        <f>IF('Mon Entreprise'!I98-'Mon Entreprise'!M116&lt;0,0,'Mon Entreprise'!I98-'Mon Entreprise'!M116)</f>
        <v>0</v>
      </c>
      <c r="AC127" s="36"/>
      <c r="AD127" s="1"/>
      <c r="AE127" s="27">
        <f>IFERROR(1-'Mon Entreprise'!M116/'Mon Entreprise'!I98,0)</f>
        <v>0</v>
      </c>
    </row>
    <row r="128" spans="2:31" ht="15.75" customHeight="1">
      <c r="B128" s="103"/>
      <c r="C128" s="163"/>
      <c r="D128" s="495"/>
      <c r="E128" s="496"/>
      <c r="F128" s="496"/>
      <c r="G128" s="496"/>
      <c r="H128" s="496"/>
      <c r="I128" s="496"/>
      <c r="J128" s="496"/>
      <c r="K128" s="496"/>
      <c r="L128" s="496"/>
      <c r="M128" s="496"/>
      <c r="N128" s="496"/>
      <c r="O128" s="497"/>
      <c r="P128" s="1"/>
      <c r="T128" s="501" t="s">
        <v>22</v>
      </c>
      <c r="U128" s="502"/>
      <c r="V128" s="502"/>
      <c r="W128" s="502"/>
      <c r="X128" s="139"/>
      <c r="Y128" s="140" t="str">
        <f>IF('Mon Entreprise'!I169="","NC",'Mon Entreprise'!I169)</f>
        <v>NC</v>
      </c>
      <c r="Z128" s="191"/>
      <c r="AA128" s="192"/>
      <c r="AB128" s="143" t="str">
        <f>IFERROR(IF('Mon Entreprise'!I169-'Mon Entreprise'!M116&lt;0,0,'Mon Entreprise'!I169-'Mon Entreprise'!M116),"NC")</f>
        <v>NC</v>
      </c>
      <c r="AC128" s="193"/>
      <c r="AD128" s="139"/>
      <c r="AE128" s="146" t="str">
        <f>IFERROR(1-'Mon Entreprise'!M116/'Mon Entreprise'!I169,"NC")</f>
        <v>NC</v>
      </c>
    </row>
    <row r="129" spans="2:31" ht="15.75" customHeight="1">
      <c r="B129" s="103"/>
      <c r="C129" s="163"/>
      <c r="D129" s="495"/>
      <c r="E129" s="496"/>
      <c r="F129" s="496"/>
      <c r="G129" s="496"/>
      <c r="H129" s="496"/>
      <c r="I129" s="496"/>
      <c r="J129" s="496"/>
      <c r="K129" s="496"/>
      <c r="L129" s="496"/>
      <c r="M129" s="496"/>
      <c r="N129" s="496"/>
      <c r="O129" s="497"/>
      <c r="P129" s="1"/>
      <c r="T129" s="14"/>
      <c r="U129" s="1"/>
      <c r="V129" s="1"/>
      <c r="W129" s="1"/>
      <c r="X129" s="1"/>
      <c r="Y129" s="1"/>
      <c r="Z129" s="1"/>
      <c r="AA129" s="1"/>
      <c r="AB129" s="1"/>
      <c r="AC129" s="1"/>
      <c r="AD129" s="1"/>
      <c r="AE129" s="13"/>
    </row>
    <row r="130" spans="2:31" ht="15.75" customHeight="1">
      <c r="B130" s="103"/>
      <c r="C130" s="163"/>
      <c r="D130" s="495"/>
      <c r="E130" s="496"/>
      <c r="F130" s="496"/>
      <c r="G130" s="496"/>
      <c r="H130" s="496"/>
      <c r="I130" s="496"/>
      <c r="J130" s="496"/>
      <c r="K130" s="496"/>
      <c r="L130" s="496"/>
      <c r="M130" s="496"/>
      <c r="N130" s="496"/>
      <c r="O130" s="497"/>
      <c r="P130" s="1"/>
      <c r="T130" s="14"/>
      <c r="AC130" s="1"/>
      <c r="AD130" s="1"/>
      <c r="AE130" s="13"/>
    </row>
    <row r="131" spans="2:31" ht="15.75" customHeight="1" thickBot="1">
      <c r="B131" s="103"/>
      <c r="C131" s="163"/>
      <c r="D131" s="498"/>
      <c r="E131" s="499"/>
      <c r="F131" s="499"/>
      <c r="G131" s="499"/>
      <c r="H131" s="499"/>
      <c r="I131" s="499"/>
      <c r="J131" s="499"/>
      <c r="K131" s="499"/>
      <c r="L131" s="499"/>
      <c r="M131" s="499"/>
      <c r="N131" s="499"/>
      <c r="O131" s="500"/>
      <c r="P131" s="1"/>
      <c r="T131" s="14"/>
      <c r="AC131" s="1"/>
      <c r="AD131" s="1"/>
      <c r="AE131" s="13"/>
    </row>
    <row r="132" spans="2:31" ht="16.5" hidden="1" customHeight="1">
      <c r="B132" s="103"/>
      <c r="C132" s="163"/>
      <c r="D132" s="60"/>
      <c r="E132" s="163"/>
      <c r="F132" s="163"/>
      <c r="G132" s="163"/>
      <c r="H132" s="163"/>
      <c r="I132" s="163"/>
      <c r="J132" s="163"/>
      <c r="K132" s="163"/>
      <c r="L132" s="163"/>
      <c r="M132" s="163"/>
      <c r="N132" s="163"/>
      <c r="O132" s="163"/>
      <c r="P132" s="1"/>
      <c r="T132" s="14"/>
      <c r="AC132" s="1"/>
      <c r="AD132" s="1"/>
      <c r="AE132" s="13"/>
    </row>
    <row r="133" spans="2:31" ht="15.75" hidden="1">
      <c r="B133" s="103"/>
      <c r="C133" s="78"/>
      <c r="D133" s="78"/>
      <c r="E133" s="78"/>
      <c r="F133" s="78"/>
      <c r="G133" s="78"/>
      <c r="H133" s="78"/>
      <c r="I133" s="78"/>
      <c r="J133" s="78"/>
      <c r="K133" s="78"/>
      <c r="L133" s="78"/>
      <c r="M133" s="78"/>
      <c r="N133" s="78"/>
      <c r="O133" s="78"/>
      <c r="P133" s="1"/>
      <c r="T133" s="14"/>
      <c r="U133" s="1"/>
      <c r="V133" s="1"/>
      <c r="W133" s="1"/>
      <c r="X133" s="1"/>
      <c r="Y133" s="1"/>
      <c r="Z133" s="1"/>
      <c r="AA133" s="1"/>
      <c r="AB133" s="1"/>
      <c r="AC133" s="1"/>
      <c r="AD133" s="1"/>
      <c r="AE133" s="13"/>
    </row>
    <row r="134" spans="2:31" ht="15.75" hidden="1">
      <c r="B134" s="103"/>
      <c r="C134" s="163"/>
      <c r="D134" s="60"/>
      <c r="E134" s="163"/>
      <c r="F134" s="163"/>
      <c r="G134" s="163"/>
      <c r="H134" s="163"/>
      <c r="I134" s="163"/>
      <c r="J134" s="163"/>
      <c r="K134" s="163"/>
      <c r="L134" s="163"/>
      <c r="M134" s="163"/>
      <c r="N134" s="163"/>
      <c r="O134" s="163"/>
      <c r="P134" s="1"/>
      <c r="T134" s="14"/>
      <c r="U134" s="506" t="s">
        <v>72</v>
      </c>
      <c r="V134" s="506"/>
      <c r="W134" s="506"/>
      <c r="X134" s="506"/>
      <c r="Y134" s="506"/>
      <c r="Z134" s="1"/>
      <c r="AA134" s="14"/>
      <c r="AB134" s="189" t="str">
        <f>IF('Mon Entreprise'!K8&lt;=Annexes!Q24,"Oui","Non")</f>
        <v>Oui</v>
      </c>
      <c r="AC134" s="1"/>
      <c r="AD134" s="1"/>
      <c r="AE134" s="13"/>
    </row>
    <row r="135" spans="2:31" ht="15.75" hidden="1">
      <c r="B135" s="103"/>
      <c r="C135" s="163" t="s">
        <v>100</v>
      </c>
      <c r="D135" s="60"/>
      <c r="E135" s="163"/>
      <c r="F135" s="163"/>
      <c r="G135" s="163"/>
      <c r="H135" s="163"/>
      <c r="I135" s="163"/>
      <c r="J135" s="163"/>
      <c r="K135" s="163"/>
      <c r="L135" s="163"/>
      <c r="M135" s="163"/>
      <c r="N135" s="163"/>
      <c r="O135" s="163"/>
      <c r="P135" s="1"/>
      <c r="T135" s="14"/>
      <c r="U135" s="293"/>
      <c r="V135" s="506" t="s">
        <v>393</v>
      </c>
      <c r="W135" s="506"/>
      <c r="X135" s="506"/>
      <c r="Y135" s="506"/>
      <c r="Z135" s="1"/>
      <c r="AA135" s="14"/>
      <c r="AB135" s="292">
        <f>IF('Mon Entreprise'!K8&gt;=Annexes!O20,IF(Y126&gt;=Y128,Y126,Y128),IF(Y126&gt;=Y127,Y126,Y127))</f>
        <v>0</v>
      </c>
      <c r="AC135" s="1"/>
      <c r="AD135" s="1"/>
      <c r="AE135" s="13"/>
    </row>
    <row r="136" spans="2:31" ht="15.75" hidden="1">
      <c r="B136" s="168"/>
      <c r="C136" s="163"/>
      <c r="D136" s="60" t="str">
        <f>IFERROR(IF('Mon Entreprise'!K8&gt;=Annexes!O20,IF(AB126&gt;=AB128,"Le CA de référence est celui de Décembre 2019, soit une perte de "&amp;ROUND(AB126,0)&amp;" €"&amp;" ==&gt; "&amp;ROUND(AE126*100,0)&amp;" %","Le CA de référence est celui de la création, soit une perte de "&amp;ROUND(AB128,0)&amp;" €"&amp;" ==&gt; "&amp;ROUND(AE128*100,0)&amp;" %"),IF(AB126&gt;=AB127,"Le CA de référence est celui de Décembre 2019, soit une perte de "&amp;ROUND(AB126,0)&amp;" €"&amp;" ==&gt; "&amp;ROUND(AE126*100,0)&amp;" %","Le CA de référence est celui de de l'exercice 2019, soit une perte de "&amp;ROUND(AB127,0)&amp;" €"&amp;" ==&gt; "&amp;ROUND(AE127*100,0)&amp;" %")),"")</f>
        <v>Le CA de référence est celui de Décembre 2019, soit une perte de 0 € ==&gt; 0 %</v>
      </c>
      <c r="E136" s="163"/>
      <c r="F136" s="163"/>
      <c r="G136" s="163"/>
      <c r="H136" s="163"/>
      <c r="I136" s="163"/>
      <c r="J136" s="163"/>
      <c r="K136" s="163"/>
      <c r="L136" s="163"/>
      <c r="M136" s="163"/>
      <c r="N136" s="163"/>
      <c r="O136" s="163"/>
      <c r="P136" s="1"/>
      <c r="T136" s="14"/>
      <c r="U136" s="506" t="s">
        <v>84</v>
      </c>
      <c r="V136" s="506"/>
      <c r="W136" s="506"/>
      <c r="X136" s="506"/>
      <c r="Y136" s="506"/>
      <c r="Z136" s="1"/>
      <c r="AA136" s="14"/>
      <c r="AB136" s="161">
        <f>IF('Mon Entreprise'!K8&gt;=Annexes!O20,IF(AB126&gt;=AB128,AB126,AB128),IF(AB126&gt;=AB127,AB126,AB127))</f>
        <v>0</v>
      </c>
      <c r="AC136" s="1"/>
      <c r="AD136" s="1"/>
      <c r="AE136" s="13"/>
    </row>
    <row r="137" spans="2:31" ht="16.5" hidden="1" thickBot="1">
      <c r="B137" s="103"/>
      <c r="C137" s="163"/>
      <c r="D137" s="60"/>
      <c r="E137" s="163"/>
      <c r="F137" s="163"/>
      <c r="G137" s="163"/>
      <c r="H137" s="163"/>
      <c r="I137" s="163"/>
      <c r="J137" s="163"/>
      <c r="K137" s="163"/>
      <c r="L137" s="163"/>
      <c r="M137" s="163"/>
      <c r="N137" s="163"/>
      <c r="O137" s="163"/>
      <c r="P137" s="1"/>
      <c r="T137" s="14"/>
      <c r="U137" s="506" t="s">
        <v>85</v>
      </c>
      <c r="V137" s="506"/>
      <c r="W137" s="506"/>
      <c r="X137" s="506"/>
      <c r="Y137" s="506"/>
      <c r="Z137" s="1"/>
      <c r="AA137" s="14"/>
      <c r="AB137" s="19">
        <f>IF('Mon Entreprise'!K8&gt;=Annexes!O20,IF(AB126&gt;=AB128,AE126,AE128),IF(AB126&gt;=AB127,AE126,AE127))</f>
        <v>0</v>
      </c>
      <c r="AC137" s="1"/>
      <c r="AD137" s="1"/>
      <c r="AE137" s="13"/>
    </row>
    <row r="138" spans="2:31" ht="15.75" hidden="1">
      <c r="B138" s="168"/>
      <c r="C138" s="163"/>
      <c r="D138" s="508" t="str">
        <f>IFERROR(IF(AB134="Non","Vous avez débuté votre activité après le 30 Septembre 2020, vous ne pouvez donc pas bénéficier de cette aide",IF(AB137&gt;=0.5,IF(AB136&gt;Annexes!O5,"Dans votre cas, l'aide est Plafonnée, à "&amp;Annexes!O5&amp;" € pour le mois de Décembre","Vous pouvez bénéficier, au titre de cette aide, d'un montant de "&amp;ROUND(AB136,0)&amp;" € pour le mois de Décembre"),"L'entreprise n'a pas une perte d'au moins 50 % en Décembre 2020")),"Vous n'avez pas indiqué de chiffre d'affaires de référence")</f>
        <v>L'entreprise n'a pas une perte d'au moins 50 % en Décembre 2020</v>
      </c>
      <c r="E138" s="509"/>
      <c r="F138" s="509"/>
      <c r="G138" s="509"/>
      <c r="H138" s="509"/>
      <c r="I138" s="509"/>
      <c r="J138" s="509"/>
      <c r="K138" s="509"/>
      <c r="L138" s="509"/>
      <c r="M138" s="509"/>
      <c r="N138" s="509"/>
      <c r="O138" s="510"/>
      <c r="P138" s="1"/>
      <c r="T138" s="14"/>
      <c r="U138" s="1"/>
      <c r="V138" s="1"/>
      <c r="W138" s="1"/>
      <c r="X138" s="1"/>
      <c r="Y138" s="1"/>
      <c r="Z138" s="1"/>
      <c r="AA138" s="1"/>
      <c r="AB138" s="1"/>
      <c r="AC138" s="1"/>
      <c r="AD138" s="1"/>
      <c r="AE138" s="13"/>
    </row>
    <row r="139" spans="2:31" ht="15.75" hidden="1" customHeight="1">
      <c r="B139" s="168"/>
      <c r="C139" s="163"/>
      <c r="D139" s="511"/>
      <c r="E139" s="512"/>
      <c r="F139" s="512"/>
      <c r="G139" s="512"/>
      <c r="H139" s="512"/>
      <c r="I139" s="512"/>
      <c r="J139" s="512"/>
      <c r="K139" s="512"/>
      <c r="L139" s="512"/>
      <c r="M139" s="512"/>
      <c r="N139" s="512"/>
      <c r="O139" s="513"/>
      <c r="P139" s="1"/>
      <c r="T139" s="14"/>
      <c r="U139" s="1"/>
      <c r="V139" s="1"/>
      <c r="W139" s="1"/>
      <c r="X139" s="1"/>
      <c r="Y139" s="1"/>
      <c r="Z139" s="1"/>
      <c r="AA139" s="1"/>
      <c r="AB139" s="1"/>
      <c r="AC139" s="1"/>
      <c r="AD139" s="1"/>
      <c r="AE139" s="13"/>
    </row>
    <row r="140" spans="2:31" ht="15.75" hidden="1" customHeight="1">
      <c r="B140" s="103"/>
      <c r="C140" s="163"/>
      <c r="D140" s="511"/>
      <c r="E140" s="512"/>
      <c r="F140" s="512"/>
      <c r="G140" s="512"/>
      <c r="H140" s="512"/>
      <c r="I140" s="512"/>
      <c r="J140" s="512"/>
      <c r="K140" s="512"/>
      <c r="L140" s="512"/>
      <c r="M140" s="512"/>
      <c r="N140" s="512"/>
      <c r="O140" s="513"/>
      <c r="P140" s="1"/>
      <c r="T140" s="14"/>
      <c r="U140" s="1"/>
      <c r="V140" s="1"/>
      <c r="W140" s="1"/>
      <c r="X140" s="1"/>
      <c r="Y140" s="1"/>
      <c r="Z140" s="1"/>
      <c r="AA140" s="1"/>
      <c r="AB140" s="1"/>
      <c r="AC140" s="1"/>
      <c r="AD140" s="1"/>
      <c r="AE140" s="13"/>
    </row>
    <row r="141" spans="2:31" ht="15.75" hidden="1" customHeight="1" thickBot="1">
      <c r="B141" s="103"/>
      <c r="C141" s="163"/>
      <c r="D141" s="514"/>
      <c r="E141" s="515"/>
      <c r="F141" s="515"/>
      <c r="G141" s="515"/>
      <c r="H141" s="515"/>
      <c r="I141" s="515"/>
      <c r="J141" s="515"/>
      <c r="K141" s="515"/>
      <c r="L141" s="515"/>
      <c r="M141" s="515"/>
      <c r="N141" s="515"/>
      <c r="O141" s="516"/>
      <c r="P141" s="1"/>
      <c r="T141" s="14"/>
      <c r="U141" s="1"/>
      <c r="V141" s="1"/>
      <c r="W141" s="1"/>
      <c r="X141" s="1"/>
      <c r="Y141" s="1"/>
      <c r="Z141" s="1"/>
      <c r="AA141" s="1"/>
      <c r="AB141" s="1"/>
      <c r="AC141" s="1"/>
      <c r="AD141" s="1"/>
      <c r="AE141" s="13"/>
    </row>
    <row r="142" spans="2:31" ht="16.5" hidden="1" customHeight="1">
      <c r="B142" s="103"/>
      <c r="C142" s="169"/>
      <c r="D142" s="170"/>
      <c r="E142" s="170"/>
      <c r="F142" s="170"/>
      <c r="G142" s="170"/>
      <c r="H142" s="170"/>
      <c r="I142" s="170"/>
      <c r="J142" s="170"/>
      <c r="K142" s="170"/>
      <c r="L142" s="170"/>
      <c r="M142" s="170"/>
      <c r="N142" s="170"/>
      <c r="O142" s="170"/>
      <c r="P142" s="1"/>
      <c r="T142" s="14"/>
      <c r="U142" s="1"/>
      <c r="V142" s="1"/>
      <c r="W142" s="1"/>
      <c r="X142" s="1"/>
      <c r="Y142" s="1"/>
      <c r="Z142" s="1"/>
      <c r="AA142" s="1"/>
      <c r="AB142" s="1"/>
      <c r="AC142" s="1"/>
      <c r="AD142" s="1"/>
      <c r="AE142" s="13"/>
    </row>
    <row r="143" spans="2:31" ht="16.5" hidden="1" customHeight="1">
      <c r="B143" s="103"/>
      <c r="C143" s="163"/>
      <c r="D143" s="166"/>
      <c r="E143" s="166"/>
      <c r="F143" s="166"/>
      <c r="G143" s="166"/>
      <c r="H143" s="166"/>
      <c r="I143" s="166"/>
      <c r="J143" s="166"/>
      <c r="K143" s="166"/>
      <c r="L143" s="166"/>
      <c r="M143" s="166"/>
      <c r="N143" s="166"/>
      <c r="O143" s="166"/>
      <c r="P143" s="1"/>
      <c r="T143" s="518" t="s">
        <v>4</v>
      </c>
      <c r="U143" s="519"/>
      <c r="V143" s="519"/>
      <c r="W143" s="519"/>
      <c r="X143" s="519"/>
      <c r="Y143" s="519"/>
      <c r="Z143" s="139"/>
      <c r="AA143" s="145"/>
      <c r="AB143" s="194">
        <f>IFERROR(IF('Mon Entreprise'!K8&gt;=Annexes!Q18,0,1-'Mon Entreprise'!M118/2/AB135),0)</f>
        <v>0</v>
      </c>
      <c r="AC143" s="1"/>
      <c r="AD143" s="1"/>
      <c r="AE143" s="13"/>
    </row>
    <row r="144" spans="2:31" ht="16.5" hidden="1" customHeight="1">
      <c r="B144" s="103"/>
      <c r="C144" s="505" t="s">
        <v>112</v>
      </c>
      <c r="D144" s="505"/>
      <c r="E144" s="505"/>
      <c r="F144" s="505"/>
      <c r="G144" s="505"/>
      <c r="H144" s="505"/>
      <c r="I144" s="505"/>
      <c r="J144" s="505"/>
      <c r="K144" s="505"/>
      <c r="L144" s="505"/>
      <c r="M144" s="505"/>
      <c r="N144" s="505"/>
      <c r="O144" s="505"/>
      <c r="P144" s="1"/>
      <c r="T144" s="110"/>
      <c r="U144" s="520" t="s">
        <v>102</v>
      </c>
      <c r="V144" s="520"/>
      <c r="W144" s="520"/>
      <c r="X144" s="520"/>
      <c r="Y144" s="520"/>
      <c r="Z144" s="139"/>
      <c r="AA144" s="145"/>
      <c r="AB144" s="194">
        <f>IFERROR(IF('Mon Entreprise'!K8&gt;Annexes!Q26,0,1-'Mon Entreprise'!M114/AB135),0)</f>
        <v>0</v>
      </c>
      <c r="AC144" s="1"/>
      <c r="AD144" s="1"/>
      <c r="AE144" s="13"/>
    </row>
    <row r="145" spans="1:31" ht="16.5" hidden="1" customHeight="1">
      <c r="B145" s="103"/>
      <c r="C145" s="505"/>
      <c r="D145" s="505"/>
      <c r="E145" s="505"/>
      <c r="F145" s="505"/>
      <c r="G145" s="505"/>
      <c r="H145" s="505"/>
      <c r="I145" s="505"/>
      <c r="J145" s="505"/>
      <c r="K145" s="505"/>
      <c r="L145" s="505"/>
      <c r="M145" s="505"/>
      <c r="N145" s="505"/>
      <c r="O145" s="505"/>
      <c r="P145" s="1"/>
      <c r="T145" s="110"/>
      <c r="U145" s="520" t="s">
        <v>109</v>
      </c>
      <c r="V145" s="520"/>
      <c r="W145" s="520"/>
      <c r="X145" s="520"/>
      <c r="Y145" s="520"/>
      <c r="Z145" s="139"/>
      <c r="AA145" s="145"/>
      <c r="AB145" s="194">
        <f>IFERROR(IF(Annexes!O27&gt;'Mon Entreprise'!K8,1-'Mon Entreprise'!M98/'Mon Entreprise'!I98,""),0)</f>
        <v>0</v>
      </c>
      <c r="AC145" s="1"/>
      <c r="AD145" s="1"/>
      <c r="AE145" s="13"/>
    </row>
    <row r="146" spans="1:31" ht="16.5" hidden="1" customHeight="1">
      <c r="B146" s="103"/>
      <c r="C146" s="505"/>
      <c r="D146" s="505"/>
      <c r="E146" s="505"/>
      <c r="F146" s="505"/>
      <c r="G146" s="505"/>
      <c r="H146" s="505"/>
      <c r="I146" s="505"/>
      <c r="J146" s="505"/>
      <c r="K146" s="505"/>
      <c r="L146" s="505"/>
      <c r="M146" s="505"/>
      <c r="N146" s="505"/>
      <c r="O146" s="505"/>
      <c r="P146" s="1"/>
      <c r="T146" s="14"/>
      <c r="U146" s="521" t="s">
        <v>8</v>
      </c>
      <c r="V146" s="521"/>
      <c r="W146" s="521"/>
      <c r="X146" s="521"/>
      <c r="Y146" s="521"/>
      <c r="Z146" s="1"/>
      <c r="AA146" s="14"/>
      <c r="AB146" s="178" t="str">
        <f>IF((AND(Annexes!F5&gt;1,Annexes!F5&lt;=Annexes!H6)),"OUI","NON")</f>
        <v>NON</v>
      </c>
      <c r="AC146" s="1"/>
      <c r="AD146" s="1"/>
      <c r="AE146" s="13"/>
    </row>
    <row r="147" spans="1:31" ht="16.5" hidden="1" customHeight="1">
      <c r="B147" s="103"/>
      <c r="C147" s="163"/>
      <c r="D147" s="166"/>
      <c r="E147" s="417" t="str">
        <f>IF('Mon Entreprise'!K8&gt;Annexes!Q24,"",IF(OR(AB146="OUI",AND(AB147="OUI",OR(AB143&gt;=Annexes!P5,AB144&gt;=Annexes!P5,'Mes Aides'!AB145&gt;=0.1)),AB148=TRUE),"",IF(AND(AB147="OUI",OR(AB143&lt;Annexes!P5,AB144&lt;Annexes!P5,'Mes Aides'!AB145&lt;0.1)),"L'entreprise fait partie des entreprises mentionnées en annexe 2 ou 3 du décret mais n'a pas eu une perte de CA d'au-Moins 80 %, entre le 15/03/2020 et le 15/05/2020 ou Novembre 2020 ou 10 % entre 2019 et 2020","L'entreprise ne fait pas partie des entreprises ayant une fermeture administrative et ne fait pas partie des activités mentionnées aux annexes 1, 2 et 3 du décret")))</f>
        <v>L'entreprise ne fait pas partie des entreprises ayant une fermeture administrative et ne fait pas partie des activités mentionnées aux annexes 1, 2 et 3 du décret</v>
      </c>
      <c r="F147" s="417"/>
      <c r="G147" s="417"/>
      <c r="H147" s="417"/>
      <c r="I147" s="417"/>
      <c r="J147" s="417"/>
      <c r="K147" s="417"/>
      <c r="L147" s="417"/>
      <c r="M147" s="417"/>
      <c r="N147" s="417"/>
      <c r="O147" s="417"/>
      <c r="P147" s="1"/>
      <c r="T147" s="14"/>
      <c r="U147" s="490" t="s">
        <v>113</v>
      </c>
      <c r="V147" s="490"/>
      <c r="W147" s="490"/>
      <c r="X147" s="490"/>
      <c r="Y147" s="490"/>
      <c r="Z147" s="1"/>
      <c r="AA147" s="14"/>
      <c r="AB147" s="178" t="str">
        <f>IF(OR(Annexes!M17=TRUE,AND(Annexes!F7&gt;1,Annexes!F7&lt;=Annexes!H8)),"OUI","NON")</f>
        <v>NON</v>
      </c>
      <c r="AC147" s="1"/>
      <c r="AD147" s="1"/>
      <c r="AE147" s="13"/>
    </row>
    <row r="148" spans="1:31" ht="16.5" hidden="1" customHeight="1">
      <c r="B148" s="168"/>
      <c r="C148" s="163"/>
      <c r="D148" s="166"/>
      <c r="E148" s="417"/>
      <c r="F148" s="417"/>
      <c r="G148" s="417"/>
      <c r="H148" s="417"/>
      <c r="I148" s="417"/>
      <c r="J148" s="417"/>
      <c r="K148" s="417"/>
      <c r="L148" s="417"/>
      <c r="M148" s="417"/>
      <c r="N148" s="417"/>
      <c r="O148" s="417"/>
      <c r="P148" s="1"/>
      <c r="T148" s="14"/>
      <c r="U148" s="490" t="s">
        <v>12</v>
      </c>
      <c r="V148" s="490"/>
      <c r="W148" s="490"/>
      <c r="X148" s="490"/>
      <c r="Y148" s="490"/>
      <c r="Z148" s="1"/>
      <c r="AA148" s="14"/>
      <c r="AB148" s="178" t="b">
        <f>Annexes!M15</f>
        <v>0</v>
      </c>
      <c r="AC148" s="1"/>
      <c r="AD148" s="1"/>
      <c r="AE148" s="13"/>
    </row>
    <row r="149" spans="1:31" ht="16.5" hidden="1" customHeight="1">
      <c r="A149" s="99"/>
      <c r="B149" s="103"/>
      <c r="C149" s="163"/>
      <c r="D149" s="523" t="str">
        <f>IFERROR(IF('Mon Entreprise'!K8&gt;=Annexes!O20,IF(AB126&gt;=AB128,"- Le CA de référence est celui de Décembre 2019, soit une perte de "&amp;ROUND(AB126,0)&amp;" €"&amp;" ==&gt; "&amp;ROUND(AE126*100,0)&amp;" %","- Le CA de référence est celui de la création, soit une perte de "&amp;ROUND(AB128,0)&amp;" €"&amp;" ==&gt; "&amp;ROUND(AE128*100,0)&amp;" %"),IF(AB126&gt;=AB127,"- Le CA de référence est celui de Décembre 2019, soit une perte de "&amp;ROUND(AB126,0)&amp;" €"&amp;" ==&gt; "&amp;ROUND(AE126*100,0)&amp;" %","- Le CA de référence est celui de l'exercice 2019, soit une perte de "&amp;ROUND(AB127,0)&amp;" €"&amp;" ==&gt; "&amp;ROUND(AE127*100,0)&amp;" %")),"")</f>
        <v>- Le CA de référence est celui de Décembre 2019, soit une perte de 0 € ==&gt; 0 %</v>
      </c>
      <c r="E149" s="523"/>
      <c r="F149" s="523"/>
      <c r="G149" s="523"/>
      <c r="H149" s="523"/>
      <c r="I149" s="523"/>
      <c r="J149" s="523"/>
      <c r="K149" s="523"/>
      <c r="L149" s="523"/>
      <c r="M149" s="523"/>
      <c r="N149" s="523"/>
      <c r="O149" s="523"/>
      <c r="P149" s="1"/>
      <c r="T149" s="14"/>
      <c r="U149" s="525" t="s">
        <v>72</v>
      </c>
      <c r="V149" s="525"/>
      <c r="W149" s="525"/>
      <c r="X149" s="525"/>
      <c r="Y149" s="525"/>
      <c r="Z149" s="139"/>
      <c r="AA149" s="145"/>
      <c r="AB149" s="189" t="str">
        <f>IF('Mon Entreprise'!K8&lt;=Annexes!Q24,"Oui","Non")</f>
        <v>Oui</v>
      </c>
      <c r="AC149" s="139"/>
      <c r="AD149" s="1"/>
      <c r="AE149" s="13"/>
    </row>
    <row r="150" spans="1:31" ht="16.5" hidden="1" customHeight="1">
      <c r="B150" s="103"/>
      <c r="C150" s="163"/>
      <c r="D150" s="172" t="str">
        <f>IF(OR(AB146="OUI",AB148=TRUE),"- Sans ticket modérateur",IF(AND(AB147="OUI",OR(AB143&gt;=0.8,AB144&gt;=0.8,AB145&gt;=0.1)),"- La Perte de référence est plafonnée à 80 %, soit "&amp;ROUND(AB154,0)&amp;" €","- Sans ticket modérateur"))</f>
        <v>- Sans ticket modérateur</v>
      </c>
      <c r="E150" s="171"/>
      <c r="F150" s="171"/>
      <c r="G150" s="171"/>
      <c r="H150" s="171"/>
      <c r="I150" s="171"/>
      <c r="J150" s="171"/>
      <c r="K150" s="171"/>
      <c r="L150" s="171"/>
      <c r="M150" s="171"/>
      <c r="N150" s="171"/>
      <c r="O150" s="171"/>
      <c r="P150" s="1"/>
      <c r="T150" s="14"/>
      <c r="U150" s="525" t="s">
        <v>84</v>
      </c>
      <c r="V150" s="525"/>
      <c r="W150" s="525"/>
      <c r="X150" s="525"/>
      <c r="Y150" s="525"/>
      <c r="Z150" s="139"/>
      <c r="AA150" s="145"/>
      <c r="AB150" s="189">
        <f>IF('Mon Entreprise'!K8&gt;=Annexes!O20,IF(AB126&gt;=AB128,AB126,AB128),IF(AB126&gt;=AB127,AB126,AB127))</f>
        <v>0</v>
      </c>
      <c r="AC150" s="139"/>
      <c r="AD150" s="1"/>
      <c r="AE150" s="13"/>
    </row>
    <row r="151" spans="1:31" ht="16.5" hidden="1" customHeight="1" thickBot="1">
      <c r="B151" s="103"/>
      <c r="C151" s="163"/>
      <c r="D151" s="171"/>
      <c r="E151" s="171"/>
      <c r="F151" s="171"/>
      <c r="G151" s="171"/>
      <c r="H151" s="171"/>
      <c r="I151" s="171"/>
      <c r="J151" s="171"/>
      <c r="K151" s="171"/>
      <c r="L151" s="171"/>
      <c r="M151" s="171"/>
      <c r="N151" s="171"/>
      <c r="O151" s="171"/>
      <c r="P151" s="1"/>
      <c r="T151" s="14"/>
      <c r="U151" s="525" t="s">
        <v>85</v>
      </c>
      <c r="V151" s="525"/>
      <c r="W151" s="525"/>
      <c r="X151" s="525"/>
      <c r="Y151" s="525"/>
      <c r="Z151" s="139"/>
      <c r="AA151" s="145"/>
      <c r="AB151" s="189">
        <f>IF('Mon Entreprise'!K8&gt;=Annexes!O20,IF(AB126&gt;=AB128,AE126,AE128),IF(AB126&gt;=AB127,AE126,AE127))</f>
        <v>0</v>
      </c>
      <c r="AC151" s="139"/>
      <c r="AD151" s="1"/>
      <c r="AE151" s="13"/>
    </row>
    <row r="152" spans="1:31" ht="16.5" hidden="1" customHeight="1">
      <c r="B152" s="103"/>
      <c r="C152" s="163"/>
      <c r="D152" s="508" t="str">
        <f>IFERROR(IF('Mon Entreprise'!K8&gt;Annexes!Q24,"Vous avez débuté votre activité après le 30 Septembre 2020, vous ne pouvez donc pas bénéficier de cette aide",IF(AB148=TRUE,IF(AB154&gt;Annexes!O6,"Dans votre cas, l'aide est Plafonnée, à "&amp;Annexes!O6&amp;" € pour le mois de Décembre","Vous pouvez bénéficier, au titre de cette aide, d'un montant de "&amp;ROUND(AB154,0)&amp;" € pour le mois de Décembre"),IF(AB151&gt;=0.5,IF(OR(AB146="OUI",AND(AB147="OUI",OR(AB143&gt;=Annexes!P5,AB144&gt;=Annexes!P5,AB145&gt;=0.1))),IF(AB154&gt;Annexes!O6,"Dans votre cas, l'aide est Plafonnée, à "&amp;Annexes!O6&amp;" € pour le mois de Décembre","Vous pouvez bénéficier, au titre de cette aide, d'un montant de "&amp;ROUND(AB154,0)&amp;" € pour le mois de Décembre"),IF(AND(AB147="OUI",OR(AB143&lt;Annexes!P5,AB144&lt;Annexes!P5,AB145&lt;0.1)),"L'entreprise fait partie des entreprises mentionnées en annexe 2 ou 3 du décret, mais n'a pas eu une perte de CA d'au-Moins 80 % entre le 15/03/2020 et le 15/05/2020 ou au mois de Novembre 2020 ou 10 % de perte entre 2019 et 2020","L'entreprise ne fait pas partie des entreprises ayant une fermeture administrative et ne fait pas partie des activités mentionnées aux annexes 1, 2 et 3 du décret")),"L'entreprise n'a pas une perte d'au moins 50 % en Décembre 2020"))),"Vous n'avez pas indiqué de chiffre d'affaires de référence")</f>
        <v>L'entreprise n'a pas une perte d'au moins 50 % en Décembre 2020</v>
      </c>
      <c r="E152" s="509"/>
      <c r="F152" s="509"/>
      <c r="G152" s="509"/>
      <c r="H152" s="509"/>
      <c r="I152" s="509"/>
      <c r="J152" s="509"/>
      <c r="K152" s="509"/>
      <c r="L152" s="509"/>
      <c r="M152" s="509"/>
      <c r="N152" s="509"/>
      <c r="O152" s="510"/>
      <c r="P152" s="1"/>
      <c r="T152" s="14"/>
      <c r="U152" s="502" t="s">
        <v>74</v>
      </c>
      <c r="V152" s="502"/>
      <c r="W152" s="502"/>
      <c r="X152" s="502"/>
      <c r="Y152" s="502"/>
      <c r="Z152" s="139"/>
      <c r="AA152" s="145"/>
      <c r="AB152" s="189">
        <f>IF(OR(AB146="OUI",AB148=TRUE),1,IF(AND(AB147="OUI",OR(AB143&gt;=0.8,AB144&gt;=0.8)),0.8,1))</f>
        <v>1</v>
      </c>
      <c r="AC152" s="139"/>
      <c r="AD152" s="1"/>
      <c r="AE152" s="13"/>
    </row>
    <row r="153" spans="1:31" ht="16.5" hidden="1" customHeight="1">
      <c r="B153" s="173"/>
      <c r="C153" s="163"/>
      <c r="D153" s="511"/>
      <c r="E153" s="512"/>
      <c r="F153" s="512"/>
      <c r="G153" s="512"/>
      <c r="H153" s="512"/>
      <c r="I153" s="512"/>
      <c r="J153" s="512"/>
      <c r="K153" s="512"/>
      <c r="L153" s="512"/>
      <c r="M153" s="512"/>
      <c r="N153" s="512"/>
      <c r="O153" s="513"/>
      <c r="P153" s="1"/>
      <c r="T153" s="14"/>
      <c r="U153" s="502" t="s">
        <v>80</v>
      </c>
      <c r="V153" s="502"/>
      <c r="W153" s="502"/>
      <c r="X153" s="502"/>
      <c r="Y153" s="502"/>
      <c r="Z153" s="139"/>
      <c r="AA153" s="145"/>
      <c r="AB153" s="189">
        <f>IF('Mon Entreprise'!K8&gt;=Annexes!O20,IF(AB126&gt;=AB128,Y126,Y128),IF(AB126&gt;=AB127,Y126,Y127))</f>
        <v>0</v>
      </c>
      <c r="AC153" s="139"/>
      <c r="AD153" s="1"/>
      <c r="AE153" s="13"/>
    </row>
    <row r="154" spans="1:31" ht="16.5" hidden="1" customHeight="1">
      <c r="B154" s="103"/>
      <c r="C154" s="163"/>
      <c r="D154" s="511"/>
      <c r="E154" s="512"/>
      <c r="F154" s="512"/>
      <c r="G154" s="512"/>
      <c r="H154" s="512"/>
      <c r="I154" s="512"/>
      <c r="J154" s="512"/>
      <c r="K154" s="512"/>
      <c r="L154" s="512"/>
      <c r="M154" s="512"/>
      <c r="N154" s="512"/>
      <c r="O154" s="513"/>
      <c r="P154" s="1"/>
      <c r="T154" s="14"/>
      <c r="U154" s="490" t="s">
        <v>104</v>
      </c>
      <c r="V154" s="490"/>
      <c r="W154" s="490"/>
      <c r="X154" s="490"/>
      <c r="Y154" s="490"/>
      <c r="Z154" s="1"/>
      <c r="AA154" s="14"/>
      <c r="AB154" s="178">
        <f>IF(AB152=1,AB150,IF(AB150*AB152&gt;1500,IF(AB150&gt;1500,AB150*AB152,"Impossible"),IF(AB150&lt;1500,AB150,1500)))</f>
        <v>0</v>
      </c>
      <c r="AC154" s="1"/>
      <c r="AD154" s="1"/>
      <c r="AE154" s="13"/>
    </row>
    <row r="155" spans="1:31" ht="16.5" hidden="1" customHeight="1" thickBot="1">
      <c r="B155" s="103"/>
      <c r="C155" s="163"/>
      <c r="D155" s="514"/>
      <c r="E155" s="515"/>
      <c r="F155" s="515"/>
      <c r="G155" s="515"/>
      <c r="H155" s="515"/>
      <c r="I155" s="515"/>
      <c r="J155" s="515"/>
      <c r="K155" s="515"/>
      <c r="L155" s="515"/>
      <c r="M155" s="515"/>
      <c r="N155" s="515"/>
      <c r="O155" s="516"/>
      <c r="P155" s="1"/>
      <c r="T155" s="14"/>
      <c r="U155" s="161"/>
      <c r="V155" s="161"/>
      <c r="W155" s="161"/>
      <c r="X155" s="161"/>
      <c r="Y155" s="161"/>
      <c r="Z155" s="1"/>
      <c r="AA155" s="1"/>
      <c r="AB155" s="1"/>
      <c r="AC155" s="1"/>
      <c r="AD155" s="1"/>
      <c r="AE155" s="13"/>
    </row>
    <row r="156" spans="1:31" ht="16.5" hidden="1" customHeight="1">
      <c r="B156" s="103"/>
      <c r="C156" s="169"/>
      <c r="D156" s="174"/>
      <c r="E156" s="174"/>
      <c r="F156" s="174"/>
      <c r="G156" s="174"/>
      <c r="H156" s="174"/>
      <c r="I156" s="174"/>
      <c r="J156" s="174"/>
      <c r="K156" s="174"/>
      <c r="L156" s="174"/>
      <c r="M156" s="174"/>
      <c r="N156" s="174"/>
      <c r="O156" s="174"/>
      <c r="P156" s="1"/>
      <c r="T156" s="14"/>
      <c r="U156" s="490"/>
      <c r="V156" s="490"/>
      <c r="W156" s="490"/>
      <c r="X156" s="490"/>
      <c r="Y156" s="490"/>
      <c r="Z156" s="1"/>
      <c r="AA156" s="1"/>
      <c r="AB156" s="1"/>
      <c r="AC156" s="1"/>
      <c r="AD156" s="1"/>
      <c r="AE156" s="13"/>
    </row>
    <row r="157" spans="1:31" ht="16.5" hidden="1" customHeight="1">
      <c r="B157" s="103"/>
      <c r="C157" s="163"/>
      <c r="D157" s="171"/>
      <c r="E157" s="171"/>
      <c r="F157" s="171"/>
      <c r="G157" s="171"/>
      <c r="H157" s="171"/>
      <c r="I157" s="171"/>
      <c r="J157" s="171"/>
      <c r="K157" s="171"/>
      <c r="L157" s="171"/>
      <c r="M157" s="171"/>
      <c r="N157" s="171"/>
      <c r="O157" s="171"/>
      <c r="P157" s="1"/>
      <c r="T157" s="14"/>
      <c r="U157" s="161"/>
      <c r="V157" s="161"/>
      <c r="W157" s="161"/>
      <c r="X157" s="161"/>
      <c r="Y157" s="161"/>
      <c r="Z157" s="1"/>
      <c r="AA157" s="1"/>
      <c r="AB157" s="1"/>
      <c r="AC157" s="1"/>
      <c r="AD157" s="1"/>
      <c r="AE157" s="13"/>
    </row>
    <row r="158" spans="1:31" ht="16.5" hidden="1" customHeight="1">
      <c r="B158" s="103"/>
      <c r="C158" s="529" t="s">
        <v>114</v>
      </c>
      <c r="D158" s="529"/>
      <c r="E158" s="529"/>
      <c r="F158" s="529"/>
      <c r="G158" s="529"/>
      <c r="H158" s="529"/>
      <c r="I158" s="529"/>
      <c r="J158" s="529"/>
      <c r="K158" s="529"/>
      <c r="L158" s="529"/>
      <c r="M158" s="529"/>
      <c r="N158" s="529"/>
      <c r="O158" s="529"/>
      <c r="P158" s="1"/>
      <c r="T158" s="14"/>
      <c r="U158" s="1"/>
      <c r="V158" s="1"/>
      <c r="W158" s="1"/>
      <c r="X158" s="1"/>
      <c r="Y158" s="1"/>
      <c r="Z158" s="1"/>
      <c r="AA158" s="1"/>
      <c r="AB158" s="1"/>
      <c r="AC158" s="1"/>
      <c r="AD158" s="1"/>
      <c r="AE158" s="13"/>
    </row>
    <row r="159" spans="1:31" ht="16.5" hidden="1" customHeight="1">
      <c r="B159" s="103"/>
      <c r="C159" s="529"/>
      <c r="D159" s="529"/>
      <c r="E159" s="529"/>
      <c r="F159" s="529"/>
      <c r="G159" s="529"/>
      <c r="H159" s="529"/>
      <c r="I159" s="529"/>
      <c r="J159" s="529"/>
      <c r="K159" s="529"/>
      <c r="L159" s="529"/>
      <c r="M159" s="529"/>
      <c r="N159" s="529"/>
      <c r="O159" s="529"/>
      <c r="P159" s="1"/>
      <c r="T159" s="14"/>
      <c r="U159" s="1"/>
      <c r="V159" s="1"/>
      <c r="W159" s="1"/>
      <c r="X159" s="1"/>
      <c r="Y159" s="1"/>
      <c r="Z159" s="1"/>
      <c r="AA159" s="1"/>
      <c r="AB159" s="1"/>
      <c r="AC159" s="1"/>
      <c r="AD159" s="1"/>
      <c r="AE159" s="13"/>
    </row>
    <row r="160" spans="1:31" ht="16.5" hidden="1" customHeight="1">
      <c r="B160" s="173"/>
      <c r="C160" s="529"/>
      <c r="D160" s="529"/>
      <c r="E160" s="529"/>
      <c r="F160" s="529"/>
      <c r="G160" s="529"/>
      <c r="H160" s="529"/>
      <c r="I160" s="529"/>
      <c r="J160" s="529"/>
      <c r="K160" s="529"/>
      <c r="L160" s="529"/>
      <c r="M160" s="529"/>
      <c r="N160" s="529"/>
      <c r="O160" s="529"/>
      <c r="P160" s="1"/>
      <c r="T160" s="14"/>
      <c r="U160" s="502" t="s">
        <v>82</v>
      </c>
      <c r="V160" s="502"/>
      <c r="W160" s="502"/>
      <c r="X160" s="502"/>
      <c r="Y160" s="502"/>
      <c r="Z160" s="68"/>
      <c r="AA160" s="1"/>
      <c r="AB160" s="1">
        <f>IFERROR(IF(AB134="Non",0,IF(AB137&gt;=0.5,IF(AB136&gt;Annexes!O5,Annexes!O5,ROUND(AB136,0)),0)),0)</f>
        <v>0</v>
      </c>
      <c r="AC160" s="1"/>
      <c r="AD160" s="1"/>
      <c r="AE160" s="13"/>
    </row>
    <row r="161" spans="2:31" ht="16.5" hidden="1" customHeight="1">
      <c r="B161" s="173"/>
      <c r="C161" s="163"/>
      <c r="D161" s="166"/>
      <c r="E161" s="417" t="str">
        <f>IF('Mon Entreprise'!K8&gt;Annexes!Q24,"",IF(OR(AB146="OUI",AND(AB147="OUI",OR(AB143&gt;=Annexes!P5,AB144&gt;=Annexes!P5,'Mes Aides'!AB145&gt;=0.1)),AB148=TRUE),"",IF(AND(AB147="OUI",OR(AB143&lt;Annexes!P5,AB144&lt;Annexes!P5,'Mes Aides'!AB145&lt;0.1)),"L'entreprise fait partie des entreprises mentionnées en annexe 2 ou 3 du décret mais n'a pas eu une perte de CA d'au-Moins 80 %, entre le 15/03/2020 et le 15/05/2020 ou Novembre 2020 ou 10 % entre 2019 et 2020","L'entreprise ne fait pas partie des entreprises ayant une fermeture administrative et ne fait pas partie des activités mentionnées aux annexes 1, 2 et 3 du décret")))</f>
        <v>L'entreprise ne fait pas partie des entreprises ayant une fermeture administrative et ne fait pas partie des activités mentionnées aux annexes 1, 2 et 3 du décret</v>
      </c>
      <c r="F161" s="417"/>
      <c r="G161" s="417"/>
      <c r="H161" s="417"/>
      <c r="I161" s="417"/>
      <c r="J161" s="417"/>
      <c r="K161" s="417"/>
      <c r="L161" s="417"/>
      <c r="M161" s="417"/>
      <c r="N161" s="417"/>
      <c r="O161" s="417"/>
      <c r="P161" s="1"/>
      <c r="T161" s="14"/>
      <c r="U161" s="502" t="s">
        <v>81</v>
      </c>
      <c r="V161" s="502"/>
      <c r="W161" s="502"/>
      <c r="X161" s="502"/>
      <c r="Y161" s="502"/>
      <c r="Z161" s="68"/>
      <c r="AA161" s="1"/>
      <c r="AB161" s="1">
        <f>IFERROR(IF('Mon Entreprise'!K8&gt;Annexes!Q24,0,IF(AB148=TRUE,IF(AB154&gt;Annexes!O6,Annexes!O6,ROUND(AB154,0)),IF(AB151&gt;=0.5,IF(OR(AB146="OUI",AND(AB147="OUI",OR(AB143&gt;=Annexes!P5,AB144&gt;=Annexes!P5))),IF(AB154&gt;Annexes!O6,Annexes!O6,ROUND(AB154,0)),IF(AND(AB147="OUI",OR(AB143&lt;Annexes!P5,AB144&lt;Annexes!P5)),0,0)),0))),0)</f>
        <v>0</v>
      </c>
      <c r="AC161" s="1"/>
      <c r="AD161" s="1"/>
      <c r="AE161" s="13"/>
    </row>
    <row r="162" spans="2:31" ht="16.5" hidden="1" customHeight="1">
      <c r="B162" s="173"/>
      <c r="C162" s="163"/>
      <c r="D162" s="166"/>
      <c r="E162" s="417"/>
      <c r="F162" s="417"/>
      <c r="G162" s="417"/>
      <c r="H162" s="417"/>
      <c r="I162" s="417"/>
      <c r="J162" s="417"/>
      <c r="K162" s="417"/>
      <c r="L162" s="417"/>
      <c r="M162" s="417"/>
      <c r="N162" s="417"/>
      <c r="O162" s="417"/>
      <c r="P162" s="1"/>
      <c r="T162" s="14"/>
      <c r="U162" s="502" t="s">
        <v>399</v>
      </c>
      <c r="V162" s="502"/>
      <c r="W162" s="502"/>
      <c r="X162" s="502"/>
      <c r="Y162" s="502"/>
      <c r="Z162" s="68"/>
      <c r="AA162" s="1"/>
      <c r="AB162" s="1">
        <f>IFERROR(IF('Mon Entreprise'!K8&gt;Annexes!Q24,0,IF(AB148=TRUE,IF(AB153=0,0,IF(AB150&lt;AB153*0.2,ROUND(AB150,0),IF(AB153*0.2&gt;=200000,Annexes!O8,ROUND(AB153*0.2,0)))),IF(AB146="OUI",IF(AB151&gt;=0.7,IF(AB150&lt;AB153*0.2,ROUND(AB150,0),IF(AB153*0.2&gt;=200000,Annexes!O8,ROUND(AB153*0.2,0))),IF(AB151&gt;=0.5,IF(AB150&lt;AB153*0.15,ROUND(AB150,0),IF(AB153*0.15&gt;=200000,Annexes!O8,ROUND(AB153*0.15,0))),IF(AND(AB147="OUI",OR(AB143&gt;=0.8,AB144&gt;=0.8,AB145&gt;=0.1),AB151&gt;=0.7),IF(AB150&lt;AB153*0.2,ROUND(AB150,0),IF(AB153*0.2&gt;=200000,Annexes!O8,ROUND(AB153*0.2,0))),0))),IF(AND(AB147="OUI",OR(AB143&gt;=0.8,AB144&gt;=0.8,AB145&gt;=0.1),AB151&gt;=0.7),IF(AB150&lt;AB153*0.2,ROUND(AB150,0),IF(AB153*0.2&gt;=200000,Annexes!O8,ROUND(AB153*0.2,0))),0)))),0)</f>
        <v>0</v>
      </c>
      <c r="AC162" s="1"/>
      <c r="AD162" s="1"/>
      <c r="AE162" s="13"/>
    </row>
    <row r="163" spans="2:31" ht="16.5" hidden="1" customHeight="1">
      <c r="B163" s="173"/>
      <c r="C163" s="163"/>
      <c r="D163" s="417" t="str">
        <f>IFERROR(IF('Mon Entreprise'!K8&gt;=Annexes!O20,IF(AB126&gt;=AB128,"- Le CA de référence est celui de Décembre 2019, soit une perte de "&amp;ROUND(AB126,0)&amp;" €"&amp;" ==&gt; "&amp;ROUND(AE126*100,0)&amp;" %","- Le CA de référence est celui de la création, soit une perte de "&amp;ROUND(AB128,0)&amp;" €"&amp;" ==&gt; "&amp;ROUND(AE128*100,0)&amp;" %"),IF(AB126&gt;=AB127,"- Le CA de référence est celui de Décembre 2019, soit une perte de "&amp;ROUND(AB126,0)&amp;" €"&amp;" ==&gt; "&amp;ROUND(AE126*100,0)&amp;" %","- Le CA de référence est celui de l'exercice 2019, soit une perte de "&amp;ROUND(AB127,0)&amp;" €"&amp;" ==&gt; "&amp;ROUND(AE127*100,0)&amp;" %")),"")</f>
        <v>- Le CA de référence est celui de Décembre 2019, soit une perte de 0 € ==&gt; 0 %</v>
      </c>
      <c r="E163" s="417"/>
      <c r="F163" s="417"/>
      <c r="G163" s="417"/>
      <c r="H163" s="417"/>
      <c r="I163" s="417"/>
      <c r="J163" s="417"/>
      <c r="K163" s="417"/>
      <c r="L163" s="417"/>
      <c r="M163" s="417"/>
      <c r="N163" s="417"/>
      <c r="O163" s="417"/>
      <c r="P163" s="171"/>
      <c r="Q163" s="171"/>
      <c r="T163" s="14"/>
      <c r="U163" s="1"/>
      <c r="V163" s="1"/>
      <c r="W163" s="1"/>
      <c r="X163" s="1"/>
      <c r="Y163" s="1"/>
      <c r="Z163" s="1"/>
      <c r="AA163" s="1"/>
      <c r="AB163" s="1"/>
      <c r="AC163" s="1"/>
      <c r="AD163" s="1"/>
      <c r="AE163" s="13"/>
    </row>
    <row r="164" spans="2:31" ht="16.5" hidden="1" customHeight="1">
      <c r="B164" s="103"/>
      <c r="C164" s="163"/>
      <c r="D164" s="523" t="str">
        <f>IF(AB148=TRUE,"- L'entreprise peut bénéficier d'une aide de 20 % du CA de référence, plafonnée à 200 000 €",IF(AB146="OUI",IF(AB151&gt;=0.7,"- L'entreprise peut bénéficier d'une aide de 20 % du CA de référence, plafonnée à 200 000 €",IF(AB151&gt;=0.5,"- L'entreprise peut bénéficier d'une aide de 15 % du CA de référence, plafonnée à 200 000 €","- L'entreprise n'a subi ni de fermeture administrative au mois de Décembre, ni de perte d'au moins 50 % de son CA")),IF(AND(AB147="OUI",OR(AB143&gt;=0.8,AB144&gt;=0.8,AB145&gt;=0.1),AB151&gt;=0.7),"- L'entreprise peut bénéficier d'une aide de 20 % du CA de référence, plafonnée à 200 000 €","- L'entreprise ne fait ni partie des fermetures administratives au mois de Décembre, ni des activités mentionnées en annexe 1 (S1) ou en annexe 2 (S1 bis) ou Annexe 3")))</f>
        <v>- L'entreprise ne fait ni partie des fermetures administratives au mois de Décembre, ni des activités mentionnées en annexe 1 (S1) ou en annexe 2 (S1 bis) ou Annexe 3</v>
      </c>
      <c r="E164" s="523"/>
      <c r="F164" s="523"/>
      <c r="G164" s="523"/>
      <c r="H164" s="523"/>
      <c r="I164" s="523"/>
      <c r="J164" s="523"/>
      <c r="K164" s="523"/>
      <c r="L164" s="523"/>
      <c r="M164" s="523"/>
      <c r="N164" s="523"/>
      <c r="O164" s="523"/>
      <c r="P164" s="171"/>
      <c r="Q164" s="171"/>
      <c r="T164" s="14"/>
      <c r="U164" s="1"/>
      <c r="V164" s="1"/>
      <c r="W164" s="1"/>
      <c r="X164" s="1"/>
      <c r="Y164" s="1"/>
      <c r="Z164" s="1"/>
      <c r="AA164" s="1"/>
      <c r="AB164" s="1"/>
      <c r="AC164" s="1"/>
      <c r="AD164" s="1"/>
      <c r="AE164" s="13"/>
    </row>
    <row r="165" spans="2:31" ht="16.5" hidden="1" customHeight="1">
      <c r="B165" s="168"/>
      <c r="C165" s="163"/>
      <c r="D165" s="523"/>
      <c r="E165" s="523"/>
      <c r="F165" s="523"/>
      <c r="G165" s="523"/>
      <c r="H165" s="523"/>
      <c r="I165" s="523"/>
      <c r="J165" s="523"/>
      <c r="K165" s="523"/>
      <c r="L165" s="523"/>
      <c r="M165" s="523"/>
      <c r="N165" s="523"/>
      <c r="O165" s="523"/>
      <c r="P165" s="171"/>
      <c r="Q165" s="171"/>
      <c r="T165" s="14"/>
      <c r="U165" s="1"/>
      <c r="V165" s="1"/>
      <c r="W165" s="1"/>
      <c r="X165" s="1"/>
      <c r="Y165" s="1"/>
      <c r="Z165" s="1"/>
      <c r="AA165" s="1"/>
      <c r="AB165" s="1"/>
      <c r="AC165" s="1"/>
      <c r="AD165" s="1"/>
      <c r="AE165" s="13"/>
    </row>
    <row r="166" spans="2:31" ht="16.5" hidden="1" customHeight="1" thickBot="1">
      <c r="B166" s="168"/>
      <c r="C166" s="201"/>
      <c r="D166" s="205"/>
      <c r="E166" s="197"/>
      <c r="F166" s="197"/>
      <c r="G166" s="197"/>
      <c r="H166" s="197"/>
      <c r="I166" s="197"/>
      <c r="J166" s="197"/>
      <c r="K166" s="197"/>
      <c r="L166" s="197"/>
      <c r="M166" s="197"/>
      <c r="N166" s="197"/>
      <c r="O166" s="197"/>
      <c r="P166" s="197"/>
      <c r="Q166" s="197"/>
      <c r="T166" s="14"/>
      <c r="U166" s="1"/>
      <c r="V166" s="1"/>
      <c r="W166" s="1"/>
      <c r="X166" s="1"/>
      <c r="Y166" s="1"/>
      <c r="Z166" s="1"/>
      <c r="AA166" s="1"/>
      <c r="AB166" s="1"/>
      <c r="AC166" s="1"/>
      <c r="AD166" s="1"/>
      <c r="AE166" s="13"/>
    </row>
    <row r="167" spans="2:31" ht="16.5" hidden="1" customHeight="1">
      <c r="B167" s="103"/>
      <c r="C167" s="180"/>
      <c r="D167" s="526" t="str">
        <f>IFERROR(IF('Mon Entreprise'!K8&gt;Annexes!Q24,"Vous avez débuté votre activité après le 30 Septembre 2020, vous ne pouvez donc pas bénéficier de cette aide",IF(AB148=TRUE,IF(AB153=0,"Vous n'avez pas indiqué de chiffre d'affaires de référence",IF(AB150&lt;AB153*0.2,"Dans votre cas, la perte est inférieure à 20 % du CA, l'aide est donc plafonnée à la perte, soit "&amp;ROUND(AB150,0)&amp;" € pour le mois de Décembre",IF(AB153*0.2&gt;=200000,"Dans votre cas, l'aide est plafonnée, à "&amp;Annexes!O8&amp;" € pour le mois de Décembre","Vous pouvez bénéficier, au titre de cette aide, d'un montant de "&amp;ROUND(AB153*0.2,0)&amp;" € pour le mois de Décembre"))),IF(AB146="OUI",IF(AB151&gt;=0.7,IF(AB150&lt;AB153*0.2,"Dans votre cas, la perte est inférieure à 20 % du CA, l'aide est donc plafonnée à la perte, soit "&amp;ROUND(AB150,0)&amp;" € pour le mois de Décembre",IF(AB153*0.2&gt;=200000,"Dans votre cas, l'aide est plafonnée, à "&amp;Annexes!O8&amp;" € pour le mois de Décembre","Vous pouvez bénéficier, au titre de cette aide, d'un montant de "&amp;ROUND(AB153*0.2,0)&amp;" € pour le mois de Décembre")),IF(AB151&gt;=0.5,IF(AB150&lt;AB153*0.15,"Dans votre cas, la perte est inférieure à 15 % du CA, l'aide est donc plafonnée à la perte, soit "&amp;ROUND(AB150,0)&amp;" € pour le mois de Décembre",IF(AB153*0.15&gt;=200000,"Dans votre cas, l'aide est plafonnée, à "&amp;Annexes!O8&amp;" € pour le mois de Décembre","Vous pouvez bénéficier, au titre de cette aide, d'un montant de "&amp;ROUND(AB153*0.15,0)&amp;" € pour le mois de Décembre")),IF(AND(AB147="OUI",OR(AB143&gt;=0.8,AB144&gt;=0.8,AB145&gt;=0.1),AB151&gt;=0.7),IF(AB150&lt;AB153*0.2,"Dans votre cas, la perte est inférieure à 20 % du CA, l'aide est donc plafonnée à la perte, soit "&amp;ROUND(AB150,0)&amp;" € pour le mois de Décembre"&amp;IF(AND(AB147="OUI",AB162&gt;AB161,AB162&gt;AB160)," *",""),IF(AB153*0.2&gt;=200000,"Dans votre cas, l'aide est plafonnée, à "&amp;Annexes!O8&amp;" € pour le mois de Décembre"&amp;IF(AND(AB147="OUI",AB162&gt;AB161,AB162&gt;AB160)," *",""),"Vous pouvez bénéficier, au titre de cette aide, d'un montant de "&amp;ROUND(AB153*0.2,0)&amp;" € pour le mois de Décembre"&amp;IF(AND(AB147="OUI",AB162&gt;AB161,AB162&gt;AB160)," *",""))),"L'entreprise ne fait ni partie des fermetures administratives au mois de Décembre, ni des activités mentionnées en annexe 1 (S1) avec 50 % de perte en Décembre ou en annexe 2 (S1 bis) ou 3 avec 70 % de Perte en Décembre"))),IF(AND(AB147="OUI",OR(AB143&gt;=0.8,AB144&gt;=0.8,AB145&gt;=0.1),AB151&gt;=0.7),IF(AB150&lt;AB153*0.2,"Dans votre cas, la perte est inférieure à 20 % du CA, l'aide est donc plafonnée à la perte, soit "&amp;ROUND(AB150,0)&amp;" € pour le mois de Décembre"&amp;IF(AND(AB147="OUI",AB162&gt;AB161,AB162&gt;AB160)," *",""),IF(AB153*0.2&gt;=200000,"Dans votre cas, l'aide est plafonnée, à "&amp;Annexes!O8&amp;" € pour le mois de Décembre"&amp;IF(AND(AB147="OUI",AB162&gt;AB161,AB162&gt;AB160)," *",""),"Vous pouvez bénéficier, au titre de cette aide, d'un montant de "&amp;ROUND(AB153*0.2,0)&amp;" € pour le mois de Décembre"&amp;IF(AND(AB147="OUI",AB162&gt;AB161,AB162&gt;AB160)," *",""))),"L'entreprise ne fait ni partie des fermetures administratives au mois de Décembre, ni des activités mentionnées en annexe 1 (S1) avec 50 % de perte en Décembre ou en annexe 2 (S1 bis) ou 3 avec 70 % de Perte en Décembre")))),"Vous n'avez pas indiqué de chiffre d'affaires de référence")</f>
        <v>L'entreprise ne fait ni partie des fermetures administratives au mois de Décembre, ni des activités mentionnées en annexe 1 (S1) avec 50 % de perte en Décembre ou en annexe 2 (S1 bis) ou 3 avec 70 % de Perte en Décembre</v>
      </c>
      <c r="E167" s="509"/>
      <c r="F167" s="509"/>
      <c r="G167" s="509"/>
      <c r="H167" s="509"/>
      <c r="I167" s="509"/>
      <c r="J167" s="509"/>
      <c r="K167" s="509"/>
      <c r="L167" s="509"/>
      <c r="M167" s="509"/>
      <c r="N167" s="509"/>
      <c r="O167" s="510"/>
      <c r="P167" s="171"/>
      <c r="Q167" s="171"/>
      <c r="T167" s="14"/>
      <c r="U167" s="1"/>
      <c r="V167" s="1"/>
      <c r="W167" s="1"/>
      <c r="X167" s="1"/>
      <c r="Y167" s="1"/>
      <c r="Z167" s="1"/>
      <c r="AA167" s="1"/>
      <c r="AB167" s="1"/>
      <c r="AC167" s="1"/>
      <c r="AD167" s="1"/>
      <c r="AE167" s="13"/>
    </row>
    <row r="168" spans="2:31" ht="16.5" hidden="1" customHeight="1">
      <c r="B168" s="103"/>
      <c r="C168" s="180"/>
      <c r="D168" s="511"/>
      <c r="E168" s="512"/>
      <c r="F168" s="512"/>
      <c r="G168" s="512"/>
      <c r="H168" s="512"/>
      <c r="I168" s="512"/>
      <c r="J168" s="512"/>
      <c r="K168" s="512"/>
      <c r="L168" s="512"/>
      <c r="M168" s="512"/>
      <c r="N168" s="512"/>
      <c r="O168" s="513"/>
      <c r="P168" s="171"/>
      <c r="Q168" s="171"/>
      <c r="T168" s="14"/>
      <c r="U168" s="1"/>
      <c r="V168" s="1"/>
      <c r="W168" s="1"/>
      <c r="X168" s="1"/>
      <c r="Y168" s="1"/>
      <c r="Z168" s="1"/>
      <c r="AA168" s="1"/>
      <c r="AB168" s="1"/>
      <c r="AC168" s="1"/>
      <c r="AD168" s="1"/>
      <c r="AE168" s="13"/>
    </row>
    <row r="169" spans="2:31" ht="16.5" hidden="1" customHeight="1">
      <c r="B169" s="103"/>
      <c r="C169" s="180"/>
      <c r="D169" s="511"/>
      <c r="E169" s="512"/>
      <c r="F169" s="512"/>
      <c r="G169" s="512"/>
      <c r="H169" s="512"/>
      <c r="I169" s="512"/>
      <c r="J169" s="512"/>
      <c r="K169" s="512"/>
      <c r="L169" s="512"/>
      <c r="M169" s="512"/>
      <c r="N169" s="512"/>
      <c r="O169" s="513"/>
      <c r="P169" s="175"/>
      <c r="Q169" s="175"/>
      <c r="T169" s="14"/>
      <c r="U169" s="1"/>
      <c r="V169" s="1"/>
      <c r="W169" s="1"/>
      <c r="X169" s="1"/>
      <c r="Y169" s="1"/>
      <c r="Z169" s="1"/>
      <c r="AA169" s="1"/>
      <c r="AB169" s="1"/>
      <c r="AC169" s="1"/>
      <c r="AD169" s="1"/>
      <c r="AE169" s="13"/>
    </row>
    <row r="170" spans="2:31" ht="16.5" hidden="1" customHeight="1" thickBot="1">
      <c r="B170" s="103"/>
      <c r="C170" s="180"/>
      <c r="D170" s="514"/>
      <c r="E170" s="515"/>
      <c r="F170" s="515"/>
      <c r="G170" s="515"/>
      <c r="H170" s="515"/>
      <c r="I170" s="515"/>
      <c r="J170" s="515"/>
      <c r="K170" s="515"/>
      <c r="L170" s="515"/>
      <c r="M170" s="515"/>
      <c r="N170" s="515"/>
      <c r="O170" s="516"/>
      <c r="T170" s="14"/>
      <c r="U170" s="1"/>
      <c r="V170" s="1"/>
      <c r="W170" s="1"/>
      <c r="X170" s="1"/>
      <c r="Y170" s="1"/>
      <c r="Z170" s="1"/>
      <c r="AA170" s="1"/>
      <c r="AB170" s="1"/>
      <c r="AC170" s="1"/>
      <c r="AD170" s="1"/>
      <c r="AE170" s="13"/>
    </row>
    <row r="171" spans="2:31" ht="15.75" hidden="1">
      <c r="B171" s="103"/>
      <c r="C171" s="163"/>
      <c r="D171" s="532" t="str">
        <f>IF(AND(AB147="OUI",AB162&gt;AB161,AB162&gt;AB160),"* Le cas échéant, l’aide perçue au titre de l’Art. 3-15 ou 3-16, si elle a déjà été demandée, vient en diminution de la présente aide complémentaire au titre de l'Art. 3-17 ou 3-18 du décret 2021-79 du 28 Janvier 2021","")</f>
        <v/>
      </c>
      <c r="E171" s="532"/>
      <c r="F171" s="532"/>
      <c r="G171" s="532"/>
      <c r="H171" s="532"/>
      <c r="I171" s="532"/>
      <c r="J171" s="532"/>
      <c r="K171" s="532"/>
      <c r="L171" s="532"/>
      <c r="M171" s="532"/>
      <c r="N171" s="532"/>
      <c r="O171" s="532"/>
      <c r="P171" s="176"/>
      <c r="Q171" s="176"/>
      <c r="T171" s="14"/>
      <c r="U171" s="1"/>
      <c r="V171" s="1"/>
      <c r="W171" s="1"/>
      <c r="X171" s="1"/>
      <c r="Y171" s="1"/>
      <c r="Z171" s="1"/>
      <c r="AA171" s="1"/>
      <c r="AB171" s="1"/>
      <c r="AC171" s="1"/>
      <c r="AD171" s="1"/>
      <c r="AE171" s="13"/>
    </row>
    <row r="172" spans="2:31" ht="31.5" hidden="1" customHeight="1">
      <c r="B172" s="5"/>
      <c r="C172" s="5"/>
      <c r="D172" s="233"/>
      <c r="E172" s="233"/>
      <c r="F172" s="233"/>
      <c r="G172" s="233"/>
      <c r="H172" s="233"/>
      <c r="I172" s="233"/>
      <c r="J172" s="233"/>
      <c r="K172" s="233"/>
      <c r="L172" s="233"/>
      <c r="M172" s="233"/>
      <c r="N172" s="233"/>
      <c r="O172" s="233"/>
      <c r="P172" s="177"/>
      <c r="Q172" s="177"/>
      <c r="T172" s="14"/>
      <c r="U172" s="1"/>
      <c r="V172" s="1"/>
      <c r="W172" s="1"/>
      <c r="X172" s="1"/>
      <c r="Y172" s="1"/>
      <c r="Z172" s="1"/>
      <c r="AA172" s="1"/>
      <c r="AB172" s="1"/>
      <c r="AC172" s="1"/>
      <c r="AD172" s="1"/>
      <c r="AE172" s="13"/>
    </row>
    <row r="173" spans="2:31">
      <c r="B173" s="5"/>
      <c r="C173" s="5"/>
      <c r="D173" s="295"/>
      <c r="E173" s="295"/>
      <c r="F173" s="295"/>
      <c r="G173" s="295"/>
      <c r="H173" s="295"/>
      <c r="I173" s="295"/>
      <c r="J173" s="295"/>
      <c r="K173" s="295"/>
      <c r="L173" s="295"/>
      <c r="M173" s="295"/>
      <c r="N173" s="295"/>
      <c r="O173" s="295"/>
      <c r="P173" s="177"/>
      <c r="Q173" s="177"/>
      <c r="T173" s="14"/>
      <c r="U173" s="1"/>
      <c r="V173" s="1"/>
      <c r="W173" s="1"/>
      <c r="X173" s="1"/>
      <c r="Y173" s="1"/>
      <c r="Z173" s="1"/>
      <c r="AA173" s="1"/>
      <c r="AB173" s="1"/>
      <c r="AC173" s="1"/>
      <c r="AD173" s="1"/>
      <c r="AE173" s="13"/>
    </row>
    <row r="174" spans="2:31">
      <c r="B174" s="533">
        <v>2021</v>
      </c>
      <c r="C174" s="533"/>
      <c r="D174" s="533"/>
      <c r="E174" s="533"/>
      <c r="F174" s="533"/>
      <c r="G174" s="533"/>
      <c r="H174" s="533"/>
      <c r="I174" s="533"/>
      <c r="J174" s="533"/>
      <c r="K174" s="533"/>
      <c r="L174" s="533"/>
      <c r="M174" s="533"/>
      <c r="N174" s="533"/>
      <c r="O174" s="533"/>
      <c r="P174" s="177"/>
      <c r="Q174" s="177"/>
      <c r="T174" s="14"/>
      <c r="U174" s="1"/>
      <c r="V174" s="1"/>
      <c r="W174" s="1"/>
      <c r="X174" s="1"/>
      <c r="Y174" s="1"/>
      <c r="Z174" s="1"/>
      <c r="AA174" s="1"/>
      <c r="AB174" s="1"/>
      <c r="AC174" s="1"/>
      <c r="AD174" s="1"/>
      <c r="AE174" s="13"/>
    </row>
    <row r="175" spans="2:31" ht="15.75" thickBot="1">
      <c r="B175" s="534"/>
      <c r="C175" s="534"/>
      <c r="D175" s="534"/>
      <c r="E175" s="534"/>
      <c r="F175" s="534"/>
      <c r="G175" s="534"/>
      <c r="H175" s="534"/>
      <c r="I175" s="534"/>
      <c r="J175" s="534"/>
      <c r="K175" s="534"/>
      <c r="L175" s="534"/>
      <c r="M175" s="534"/>
      <c r="N175" s="534"/>
      <c r="O175" s="534"/>
      <c r="P175" s="177"/>
      <c r="Q175" s="177"/>
      <c r="T175" s="16"/>
      <c r="U175" s="11"/>
      <c r="V175" s="11"/>
      <c r="W175" s="11"/>
      <c r="X175" s="11"/>
      <c r="Y175" s="11"/>
      <c r="Z175" s="11"/>
      <c r="AA175" s="11"/>
      <c r="AB175" s="11"/>
      <c r="AC175" s="11"/>
      <c r="AD175" s="11"/>
      <c r="AE175" s="12"/>
    </row>
    <row r="176" spans="2:31">
      <c r="D176" s="177"/>
      <c r="E176" s="177"/>
      <c r="F176" s="177"/>
      <c r="G176" s="177"/>
      <c r="H176" s="177"/>
      <c r="I176" s="177"/>
      <c r="J176" s="177"/>
      <c r="K176" s="177"/>
      <c r="L176" s="177"/>
      <c r="M176" s="177"/>
      <c r="N176" s="177"/>
      <c r="O176" s="177"/>
      <c r="P176" s="175"/>
      <c r="Q176" s="175"/>
      <c r="T176" s="14"/>
      <c r="U176" s="1"/>
      <c r="V176" s="1"/>
      <c r="W176" s="1"/>
      <c r="X176" s="1"/>
      <c r="Y176" s="1"/>
      <c r="Z176" s="1"/>
      <c r="AA176" s="1"/>
      <c r="AB176" s="1"/>
      <c r="AC176" s="1"/>
      <c r="AD176" s="1"/>
      <c r="AE176" s="13"/>
    </row>
    <row r="177" spans="2:31">
      <c r="D177" s="177"/>
      <c r="E177" s="177"/>
      <c r="F177" s="177"/>
      <c r="G177" s="177"/>
      <c r="H177" s="177"/>
      <c r="I177" s="177"/>
      <c r="J177" s="177"/>
      <c r="K177" s="177"/>
      <c r="L177" s="177"/>
      <c r="M177" s="177"/>
      <c r="N177" s="177"/>
      <c r="O177" s="177"/>
      <c r="P177" s="175"/>
      <c r="Q177" s="175"/>
      <c r="T177" s="25"/>
      <c r="U177" s="490" t="s">
        <v>20</v>
      </c>
      <c r="V177" s="490"/>
      <c r="W177" s="490"/>
      <c r="X177" s="1"/>
      <c r="Y177" s="214" t="s">
        <v>6</v>
      </c>
      <c r="Z177" s="214"/>
      <c r="AA177" s="214"/>
      <c r="AB177" s="214" t="s">
        <v>23</v>
      </c>
      <c r="AC177" s="214"/>
      <c r="AD177" s="214"/>
      <c r="AE177" s="26" t="s">
        <v>24</v>
      </c>
    </row>
    <row r="178" spans="2:31" ht="16.5" thickBot="1">
      <c r="B178" s="220"/>
      <c r="C178" s="488" t="s">
        <v>119</v>
      </c>
      <c r="D178" s="488"/>
      <c r="E178" s="488"/>
      <c r="F178" s="488"/>
      <c r="G178" s="488"/>
      <c r="H178" s="488"/>
      <c r="I178" s="221"/>
      <c r="J178" s="221"/>
      <c r="K178" s="221"/>
      <c r="L178" s="221"/>
      <c r="M178" s="221"/>
      <c r="N178" s="221"/>
      <c r="O178" s="221"/>
      <c r="T178" s="25"/>
      <c r="U178" s="214"/>
      <c r="V178" s="214"/>
      <c r="W178" s="214"/>
      <c r="X178" s="1"/>
      <c r="Y178" s="214"/>
      <c r="Z178" s="214"/>
      <c r="AA178" s="214"/>
      <c r="AB178" s="214"/>
      <c r="AC178" s="214"/>
      <c r="AD178" s="214"/>
      <c r="AE178" s="26"/>
    </row>
    <row r="179" spans="2:31" ht="15" customHeight="1">
      <c r="B179" s="63"/>
      <c r="C179" s="24"/>
      <c r="D179" s="24"/>
      <c r="E179" s="24"/>
      <c r="F179" s="24"/>
      <c r="G179" s="24"/>
      <c r="H179" s="63"/>
      <c r="I179" s="1"/>
      <c r="J179" s="1"/>
      <c r="K179" s="1"/>
      <c r="L179" s="1"/>
      <c r="M179" s="1"/>
      <c r="N179" s="1"/>
      <c r="O179" s="1"/>
      <c r="T179" s="491" t="s">
        <v>121</v>
      </c>
      <c r="U179" s="490"/>
      <c r="V179" s="490"/>
      <c r="W179" s="490"/>
      <c r="X179" s="1"/>
      <c r="Y179" s="7">
        <f>'Mon Entreprise'!I122</f>
        <v>0</v>
      </c>
      <c r="Z179" s="133"/>
      <c r="AA179" s="21"/>
      <c r="AB179" s="7">
        <f>IF('Mon Entreprise'!I122-'Mon Entreprise'!M122&lt;0,0,'Mon Entreprise'!I122-'Mon Entreprise'!M122)</f>
        <v>0</v>
      </c>
      <c r="AC179" s="13"/>
      <c r="AD179" s="1"/>
      <c r="AE179" s="27">
        <f>IFERROR(1-'Mon Entreprise'!M122/'Mon Entreprise'!I122,0)</f>
        <v>0</v>
      </c>
    </row>
    <row r="180" spans="2:31" ht="15" customHeight="1">
      <c r="B180" s="103"/>
      <c r="C180" s="489" t="s">
        <v>122</v>
      </c>
      <c r="D180" s="489"/>
      <c r="E180" s="489"/>
      <c r="F180" s="489"/>
      <c r="G180" s="489"/>
      <c r="H180" s="489"/>
      <c r="I180" s="489"/>
      <c r="J180" s="489"/>
      <c r="K180" s="489"/>
      <c r="L180" s="489"/>
      <c r="M180" s="489"/>
      <c r="N180" s="489"/>
      <c r="O180" s="489"/>
      <c r="P180" s="1"/>
      <c r="T180" s="491" t="s">
        <v>25</v>
      </c>
      <c r="U180" s="490"/>
      <c r="V180" s="490"/>
      <c r="W180" s="490"/>
      <c r="X180" s="1"/>
      <c r="Y180" s="7">
        <f>'Mon Entreprise'!I98</f>
        <v>0</v>
      </c>
      <c r="Z180" s="133"/>
      <c r="AA180" s="21"/>
      <c r="AB180" s="7">
        <f>IF('Mon Entreprise'!I98-'Mon Entreprise'!M122&lt;0,0,'Mon Entreprise'!I98-'Mon Entreprise'!M122)</f>
        <v>0</v>
      </c>
      <c r="AC180" s="36"/>
      <c r="AD180" s="1"/>
      <c r="AE180" s="27">
        <f>IFERROR(1-'Mon Entreprise'!M122/'Mon Entreprise'!I98,0)</f>
        <v>0</v>
      </c>
    </row>
    <row r="181" spans="2:31" ht="15.75" customHeight="1">
      <c r="B181" s="103"/>
      <c r="C181" s="213"/>
      <c r="D181" s="60" t="s">
        <v>123</v>
      </c>
      <c r="E181" s="213"/>
      <c r="F181" s="213"/>
      <c r="G181" s="213"/>
      <c r="H181" s="213"/>
      <c r="I181" s="213"/>
      <c r="J181" s="213"/>
      <c r="K181" s="213"/>
      <c r="L181" s="213"/>
      <c r="M181" s="213"/>
      <c r="N181" s="213"/>
      <c r="O181" s="213"/>
      <c r="P181" s="1"/>
      <c r="T181" s="501" t="s">
        <v>22</v>
      </c>
      <c r="U181" s="502"/>
      <c r="V181" s="502"/>
      <c r="W181" s="502"/>
      <c r="X181" s="139"/>
      <c r="Y181" s="140" t="str">
        <f>IF('Mon Entreprise'!I162="","NC",'Mon Entreprise'!I162)</f>
        <v>NC</v>
      </c>
      <c r="Z181" s="191"/>
      <c r="AA181" s="192"/>
      <c r="AB181" s="143" t="str">
        <f>IFERROR(IF('Mon Entreprise'!I162-'Mon Entreprise'!M122&lt;0,0,'Mon Entreprise'!I162-'Mon Entreprise'!M122),"NC")</f>
        <v>NC</v>
      </c>
      <c r="AC181" s="193"/>
      <c r="AD181" s="139"/>
      <c r="AE181" s="146" t="str">
        <f>IFERROR(1-'Mon Entreprise'!M122/'Mon Entreprise'!I162,"NC")</f>
        <v>NC</v>
      </c>
    </row>
    <row r="182" spans="2:31" ht="16.5" thickBot="1">
      <c r="B182" s="103"/>
      <c r="C182" s="213"/>
      <c r="D182" s="60"/>
      <c r="E182" s="213"/>
      <c r="F182" s="213"/>
      <c r="G182" s="213"/>
      <c r="H182" s="213"/>
      <c r="I182" s="213"/>
      <c r="J182" s="213"/>
      <c r="K182" s="213"/>
      <c r="L182" s="213"/>
      <c r="M182" s="213"/>
      <c r="N182" s="213"/>
      <c r="O182" s="213"/>
      <c r="P182" s="1"/>
      <c r="T182" s="14"/>
      <c r="U182" s="1"/>
      <c r="V182" s="1"/>
      <c r="W182" s="1"/>
      <c r="X182" s="1"/>
      <c r="Y182" s="1"/>
      <c r="Z182" s="1"/>
      <c r="AA182" s="1"/>
      <c r="AB182" s="1"/>
      <c r="AC182" s="1"/>
      <c r="AD182" s="1"/>
      <c r="AE182" s="13"/>
    </row>
    <row r="183" spans="2:31" ht="15.75">
      <c r="B183" s="103"/>
      <c r="C183" s="213"/>
      <c r="D183" s="492" t="str">
        <f>IFERROR(IF(AND(AB214=0,AB215=0,AB216=0),"Vous ne pouvez pas bénéficier du fonds de solidarité pour le mois de Janvier 2021",IF(AND(AB216&gt;AB215,AB216&gt;AB214),"Votre entreprise peut bénéficier d'une aide de "&amp;AB216&amp;" €, au titre d'une fermeture Administrative, ou d'une perte d'au moins 50 % ou 70 % du CA pour les activités mentionnées en annexe 1, ou d'une perte d'au moins 70 % du CA pour les activités mentionnées en annexe 2 ou 3",IF(AB215&gt;AB214,"Votre entreprise peut bénéficier d'une aide de "&amp;AB215&amp;" €, au titre d'une fermeture Administrative, ou d'une perte d'au moins 50 % du CA pour les activités mentionnées en annexe 1, ou en annexe 2 ou 3 ayant une perte de CA d'au moins 80 % entre le 15/03/2020 et le 15/05/2020, au moins de Novembre 2020 "&amp;"ou 10 % de perte entre 2019 et 2020","Votre entreprise peut bénéficier d'une aide de "&amp;AB214&amp;" €, au titre d'une perte d'au-moins 50 % de votre CA en Janvier 2021"))),"Vous n'avez pas indiqué de chiffre d'affaires de référence")</f>
        <v>Vous ne pouvez pas bénéficier du fonds de solidarité pour le mois de Janvier 2021</v>
      </c>
      <c r="E183" s="493"/>
      <c r="F183" s="493"/>
      <c r="G183" s="493"/>
      <c r="H183" s="493"/>
      <c r="I183" s="493"/>
      <c r="J183" s="493"/>
      <c r="K183" s="493"/>
      <c r="L183" s="493"/>
      <c r="M183" s="493"/>
      <c r="N183" s="493"/>
      <c r="O183" s="494"/>
      <c r="P183" s="1"/>
      <c r="T183" s="14"/>
      <c r="AC183" s="1"/>
      <c r="AD183" s="1"/>
      <c r="AE183" s="13"/>
    </row>
    <row r="184" spans="2:31" ht="15.75" customHeight="1">
      <c r="B184" s="103"/>
      <c r="C184" s="213"/>
      <c r="D184" s="495"/>
      <c r="E184" s="496"/>
      <c r="F184" s="496"/>
      <c r="G184" s="496"/>
      <c r="H184" s="496"/>
      <c r="I184" s="496"/>
      <c r="J184" s="496"/>
      <c r="K184" s="496"/>
      <c r="L184" s="496"/>
      <c r="M184" s="496"/>
      <c r="N184" s="496"/>
      <c r="O184" s="497"/>
      <c r="P184" s="1"/>
      <c r="T184" s="14"/>
      <c r="AC184" s="1"/>
      <c r="AD184" s="1"/>
      <c r="AE184" s="13"/>
    </row>
    <row r="185" spans="2:31" ht="15.75" customHeight="1">
      <c r="B185" s="103"/>
      <c r="C185" s="213"/>
      <c r="D185" s="495"/>
      <c r="E185" s="496"/>
      <c r="F185" s="496"/>
      <c r="G185" s="496"/>
      <c r="H185" s="496"/>
      <c r="I185" s="496"/>
      <c r="J185" s="496"/>
      <c r="K185" s="496"/>
      <c r="L185" s="496"/>
      <c r="M185" s="496"/>
      <c r="N185" s="496"/>
      <c r="O185" s="497"/>
      <c r="P185" s="1"/>
      <c r="T185" s="14"/>
      <c r="AC185" s="1"/>
      <c r="AD185" s="1"/>
      <c r="AE185" s="13"/>
    </row>
    <row r="186" spans="2:31" ht="15.75" customHeight="1">
      <c r="B186" s="103"/>
      <c r="C186" s="213"/>
      <c r="D186" s="495"/>
      <c r="E186" s="496"/>
      <c r="F186" s="496"/>
      <c r="G186" s="496"/>
      <c r="H186" s="496"/>
      <c r="I186" s="496"/>
      <c r="J186" s="496"/>
      <c r="K186" s="496"/>
      <c r="L186" s="496"/>
      <c r="M186" s="496"/>
      <c r="N186" s="496"/>
      <c r="O186" s="497"/>
      <c r="P186" s="1"/>
      <c r="T186" s="14"/>
      <c r="U186" s="1"/>
      <c r="V186" s="1"/>
      <c r="W186" s="1"/>
      <c r="X186" s="1"/>
      <c r="Y186" s="1"/>
      <c r="Z186" s="1"/>
      <c r="AA186" s="1"/>
      <c r="AB186" s="1"/>
      <c r="AC186" s="1"/>
      <c r="AD186" s="1"/>
      <c r="AE186" s="13"/>
    </row>
    <row r="187" spans="2:31" ht="15.75" customHeight="1" thickBot="1">
      <c r="B187" s="103"/>
      <c r="C187" s="213"/>
      <c r="D187" s="498"/>
      <c r="E187" s="499"/>
      <c r="F187" s="499"/>
      <c r="G187" s="499"/>
      <c r="H187" s="499"/>
      <c r="I187" s="499"/>
      <c r="J187" s="499"/>
      <c r="K187" s="499"/>
      <c r="L187" s="499"/>
      <c r="M187" s="499"/>
      <c r="N187" s="499"/>
      <c r="O187" s="500"/>
      <c r="P187" s="1"/>
      <c r="T187" s="14"/>
      <c r="U187" s="506" t="s">
        <v>72</v>
      </c>
      <c r="V187" s="506"/>
      <c r="W187" s="506"/>
      <c r="X187" s="506"/>
      <c r="Y187" s="506"/>
      <c r="Z187" s="1"/>
      <c r="AA187" s="14"/>
      <c r="AB187" s="210" t="str">
        <f>IF('Mon Entreprise'!K8&lt;=Annexes!Q26,"Oui","Non")</f>
        <v>Oui</v>
      </c>
      <c r="AC187" s="1"/>
      <c r="AD187" s="1"/>
      <c r="AE187" s="13"/>
    </row>
    <row r="188" spans="2:31" ht="16.5" hidden="1" customHeight="1">
      <c r="B188" s="103"/>
      <c r="C188" s="213"/>
      <c r="D188" s="60"/>
      <c r="E188" s="213"/>
      <c r="F188" s="213"/>
      <c r="G188" s="213"/>
      <c r="H188" s="213"/>
      <c r="I188" s="213"/>
      <c r="J188" s="213"/>
      <c r="K188" s="213"/>
      <c r="L188" s="213"/>
      <c r="M188" s="213"/>
      <c r="N188" s="213"/>
      <c r="O188" s="213"/>
      <c r="P188" s="1"/>
      <c r="T188" s="14"/>
      <c r="U188" s="293"/>
      <c r="V188" s="506" t="s">
        <v>393</v>
      </c>
      <c r="W188" s="506"/>
      <c r="X188" s="506"/>
      <c r="Y188" s="506"/>
      <c r="Z188" s="1"/>
      <c r="AA188" s="14"/>
      <c r="AB188" s="292">
        <f>IF('Mon Entreprise'!K8&gt;=Annexes!O20,IF(Y179&gt;=Y181,Y179,Y181),IF(Y179&gt;=Y180,Y179,Y180))</f>
        <v>0</v>
      </c>
      <c r="AC188" s="1"/>
      <c r="AD188" s="1"/>
      <c r="AE188" s="13"/>
    </row>
    <row r="189" spans="2:31" ht="15.75" hidden="1">
      <c r="B189" s="103"/>
      <c r="C189" s="78"/>
      <c r="D189" s="78"/>
      <c r="E189" s="78"/>
      <c r="F189" s="78"/>
      <c r="G189" s="78"/>
      <c r="H189" s="78"/>
      <c r="I189" s="78"/>
      <c r="J189" s="78"/>
      <c r="K189" s="78"/>
      <c r="L189" s="78"/>
      <c r="M189" s="78"/>
      <c r="N189" s="78"/>
      <c r="O189" s="78"/>
      <c r="P189" s="1"/>
      <c r="T189" s="14"/>
      <c r="U189" s="506" t="s">
        <v>84</v>
      </c>
      <c r="V189" s="506"/>
      <c r="W189" s="506"/>
      <c r="X189" s="506"/>
      <c r="Y189" s="506"/>
      <c r="Z189" s="1"/>
      <c r="AA189" s="14"/>
      <c r="AB189" s="211">
        <f>IF('Mon Entreprise'!K8&gt;=Annexes!O20,IF(AB179&gt;=AB181,AB179,AB181),IF(AB179&gt;=AB180,AB179,AB180))</f>
        <v>0</v>
      </c>
      <c r="AC189" s="1"/>
      <c r="AD189" s="1"/>
      <c r="AE189" s="13"/>
    </row>
    <row r="190" spans="2:31" ht="15.75" hidden="1">
      <c r="B190" s="103"/>
      <c r="C190" s="213"/>
      <c r="D190" s="60"/>
      <c r="E190" s="213"/>
      <c r="F190" s="213"/>
      <c r="G190" s="213"/>
      <c r="H190" s="213"/>
      <c r="I190" s="213"/>
      <c r="J190" s="213"/>
      <c r="K190" s="213"/>
      <c r="L190" s="213"/>
      <c r="M190" s="213"/>
      <c r="N190" s="213"/>
      <c r="O190" s="213"/>
      <c r="P190" s="1"/>
      <c r="T190" s="14"/>
      <c r="U190" s="506" t="s">
        <v>85</v>
      </c>
      <c r="V190" s="506"/>
      <c r="W190" s="506"/>
      <c r="X190" s="506"/>
      <c r="Y190" s="506"/>
      <c r="Z190" s="1"/>
      <c r="AA190" s="14"/>
      <c r="AB190" s="19">
        <f>IF('Mon Entreprise'!K8&gt;=Annexes!O20,IF(AB179&gt;=AB181,AE179,AE181),IF(AB179&gt;=AB180,AE179,AE180))</f>
        <v>0</v>
      </c>
      <c r="AC190" s="1"/>
      <c r="AD190" s="1"/>
      <c r="AE190" s="13"/>
    </row>
    <row r="191" spans="2:31" ht="15.75" hidden="1">
      <c r="B191" s="103"/>
      <c r="C191" s="213" t="s">
        <v>120</v>
      </c>
      <c r="D191" s="60"/>
      <c r="E191" s="213"/>
      <c r="F191" s="213"/>
      <c r="G191" s="213"/>
      <c r="H191" s="213"/>
      <c r="I191" s="213"/>
      <c r="J191" s="213"/>
      <c r="K191" s="213"/>
      <c r="L191" s="213"/>
      <c r="M191" s="213"/>
      <c r="N191" s="213"/>
      <c r="O191" s="213"/>
      <c r="P191" s="1"/>
      <c r="T191" s="14"/>
      <c r="U191" s="1"/>
      <c r="V191" s="1"/>
      <c r="W191" s="1"/>
      <c r="X191" s="1"/>
      <c r="Y191" s="1"/>
      <c r="Z191" s="1"/>
      <c r="AA191" s="1"/>
      <c r="AB191" s="1"/>
      <c r="AC191" s="1"/>
      <c r="AD191" s="1"/>
      <c r="AE191" s="13"/>
    </row>
    <row r="192" spans="2:31" ht="15.75" hidden="1">
      <c r="B192" s="168"/>
      <c r="C192" s="213"/>
      <c r="D192" s="60" t="str">
        <f>IFERROR(IF('Mon Entreprise'!K8&gt;=Annexes!O20,IF(AB179&gt;=AB181,"Le CA de référence est celui de Janvier 2019, soit une perte de "&amp;ROUND(AB179,0)&amp;" €"&amp;" ==&gt; "&amp;ROUND(AE179*100,0)&amp;" %","Le CA de référence est celui de la création, soit une perte de "&amp;ROUND(AB181,0)&amp;" €"&amp;" ==&gt; "&amp;ROUND(AE181*100,0)&amp;" %"),IF(AB179&gt;=AB180,"Le CA de référence est celui de Janvier 2019, soit une perte de "&amp;ROUND(AB179,0)&amp;" €"&amp;" ==&gt; "&amp;ROUND(AE179*100,0)&amp;" %","Le CA de référence est celui de de l'exercice 2019, soit une perte de "&amp;ROUND(AB180,0)&amp;" €"&amp;" ==&gt; "&amp;ROUND(AE180*100,0)&amp;" %")),"")</f>
        <v>Le CA de référence est celui de Janvier 2019, soit une perte de 0 € ==&gt; 0 %</v>
      </c>
      <c r="E192" s="213"/>
      <c r="F192" s="213"/>
      <c r="G192" s="213"/>
      <c r="H192" s="213"/>
      <c r="I192" s="213"/>
      <c r="J192" s="213"/>
      <c r="K192" s="213"/>
      <c r="L192" s="213"/>
      <c r="M192" s="213"/>
      <c r="N192" s="213"/>
      <c r="O192" s="213"/>
      <c r="P192" s="1"/>
      <c r="T192" s="14"/>
      <c r="U192" s="1"/>
      <c r="V192" s="1"/>
      <c r="W192" s="1"/>
      <c r="X192" s="1"/>
      <c r="Y192" s="1"/>
      <c r="Z192" s="1"/>
      <c r="AA192" s="1"/>
      <c r="AB192" s="1"/>
      <c r="AC192" s="1"/>
      <c r="AD192" s="1"/>
      <c r="AE192" s="13"/>
    </row>
    <row r="193" spans="1:31" ht="16.5" hidden="1" thickBot="1">
      <c r="B193" s="103"/>
      <c r="C193" s="213"/>
      <c r="D193" s="60"/>
      <c r="E193" s="213"/>
      <c r="F193" s="213"/>
      <c r="G193" s="213"/>
      <c r="H193" s="213"/>
      <c r="I193" s="213"/>
      <c r="J193" s="213"/>
      <c r="K193" s="213"/>
      <c r="L193" s="213"/>
      <c r="M193" s="213"/>
      <c r="N193" s="213"/>
      <c r="O193" s="213"/>
      <c r="P193" s="1"/>
      <c r="T193" s="14"/>
      <c r="U193" s="1"/>
      <c r="V193" s="1"/>
      <c r="W193" s="1"/>
      <c r="X193" s="1"/>
      <c r="Y193" s="1"/>
      <c r="Z193" s="1"/>
      <c r="AA193" s="1"/>
      <c r="AB193" s="1"/>
      <c r="AC193" s="1"/>
      <c r="AD193" s="1"/>
      <c r="AE193" s="13"/>
    </row>
    <row r="194" spans="1:31" ht="15.75" hidden="1">
      <c r="B194" s="168"/>
      <c r="C194" s="213"/>
      <c r="D194" s="508" t="str">
        <f>IFERROR(IF(AB187="Non","Vous avez débuté votre activité après le 31 Octobre 2020, vous ne pouvez donc pas bénéficier de cette aide",IF(AB190&gt;=0.5,IF(AB189&gt;Annexes!O5,"Dans votre cas, l'aide est Plafonnée, à "&amp;Annexes!O5&amp;" € pour le mois de Janvier","Vous pouvez bénéficier, au titre de cette aide, d'un montant de "&amp;ROUND(AB189,0)&amp;" € pour le mois de Janvier"),"L'entreprise n'a pas une perte d'au moins 50 % en Janvier 2021")),"Vous n'avez pas indiqué de chiffre d'affaires de référence")</f>
        <v>L'entreprise n'a pas une perte d'au moins 50 % en Janvier 2021</v>
      </c>
      <c r="E194" s="509"/>
      <c r="F194" s="509"/>
      <c r="G194" s="509"/>
      <c r="H194" s="509"/>
      <c r="I194" s="509"/>
      <c r="J194" s="509"/>
      <c r="K194" s="509"/>
      <c r="L194" s="509"/>
      <c r="M194" s="509"/>
      <c r="N194" s="509"/>
      <c r="O194" s="510"/>
      <c r="P194" s="1"/>
      <c r="T194" s="14"/>
      <c r="U194" s="1"/>
      <c r="V194" s="1"/>
      <c r="W194" s="1"/>
      <c r="X194" s="1"/>
      <c r="Y194" s="1"/>
      <c r="Z194" s="1"/>
      <c r="AA194" s="1"/>
      <c r="AB194" s="1"/>
      <c r="AC194" s="1"/>
      <c r="AD194" s="1"/>
      <c r="AE194" s="13"/>
    </row>
    <row r="195" spans="1:31" ht="15.75" hidden="1" customHeight="1">
      <c r="B195" s="168"/>
      <c r="C195" s="213"/>
      <c r="D195" s="511"/>
      <c r="E195" s="512"/>
      <c r="F195" s="512"/>
      <c r="G195" s="512"/>
      <c r="H195" s="512"/>
      <c r="I195" s="512"/>
      <c r="J195" s="512"/>
      <c r="K195" s="512"/>
      <c r="L195" s="512"/>
      <c r="M195" s="512"/>
      <c r="N195" s="512"/>
      <c r="O195" s="513"/>
      <c r="P195" s="1"/>
      <c r="T195" s="14"/>
      <c r="U195" s="1"/>
      <c r="V195" s="1"/>
      <c r="W195" s="1"/>
      <c r="X195" s="1"/>
      <c r="Y195" s="1"/>
      <c r="Z195" s="1"/>
      <c r="AA195" s="1"/>
      <c r="AB195" s="1"/>
      <c r="AC195" s="1"/>
      <c r="AD195" s="1"/>
      <c r="AE195" s="13"/>
    </row>
    <row r="196" spans="1:31" ht="15.75" hidden="1" customHeight="1">
      <c r="B196" s="103"/>
      <c r="C196" s="213"/>
      <c r="D196" s="511"/>
      <c r="E196" s="512"/>
      <c r="F196" s="512"/>
      <c r="G196" s="512"/>
      <c r="H196" s="512"/>
      <c r="I196" s="512"/>
      <c r="J196" s="512"/>
      <c r="K196" s="512"/>
      <c r="L196" s="512"/>
      <c r="M196" s="512"/>
      <c r="N196" s="512"/>
      <c r="O196" s="513"/>
      <c r="P196" s="1"/>
      <c r="T196" s="518" t="s">
        <v>4</v>
      </c>
      <c r="U196" s="519"/>
      <c r="V196" s="519"/>
      <c r="W196" s="519"/>
      <c r="X196" s="519"/>
      <c r="Y196" s="519"/>
      <c r="Z196" s="139"/>
      <c r="AA196" s="145"/>
      <c r="AB196" s="194">
        <f>IFERROR(IF('Mon Entreprise'!K8&gt;=Annexes!Q18,0,1-'Mon Entreprise'!M118/2/AB188),0)</f>
        <v>0</v>
      </c>
      <c r="AC196" s="1"/>
      <c r="AD196" s="1"/>
      <c r="AE196" s="13"/>
    </row>
    <row r="197" spans="1:31" ht="15.75" hidden="1" customHeight="1" thickBot="1">
      <c r="B197" s="103"/>
      <c r="C197" s="213"/>
      <c r="D197" s="514"/>
      <c r="E197" s="515"/>
      <c r="F197" s="515"/>
      <c r="G197" s="515"/>
      <c r="H197" s="515"/>
      <c r="I197" s="515"/>
      <c r="J197" s="515"/>
      <c r="K197" s="515"/>
      <c r="L197" s="515"/>
      <c r="M197" s="515"/>
      <c r="N197" s="515"/>
      <c r="O197" s="516"/>
      <c r="P197" s="1"/>
      <c r="T197" s="110"/>
      <c r="U197" s="520" t="s">
        <v>102</v>
      </c>
      <c r="V197" s="520"/>
      <c r="W197" s="520"/>
      <c r="X197" s="520"/>
      <c r="Y197" s="520"/>
      <c r="Z197" s="139"/>
      <c r="AA197" s="145"/>
      <c r="AB197" s="194">
        <f>IFERROR(IF('Mon Entreprise'!K8&gt;Annexes!Q26,0,1-'Mon Entreprise'!M114/AB188),0)</f>
        <v>0</v>
      </c>
      <c r="AC197" s="1"/>
      <c r="AD197" s="1"/>
      <c r="AE197" s="13"/>
    </row>
    <row r="198" spans="1:31" ht="16.5" hidden="1" customHeight="1">
      <c r="B198" s="103"/>
      <c r="C198" s="169"/>
      <c r="D198" s="170"/>
      <c r="E198" s="170"/>
      <c r="F198" s="170"/>
      <c r="G198" s="170"/>
      <c r="H198" s="170"/>
      <c r="I198" s="170"/>
      <c r="J198" s="170"/>
      <c r="K198" s="170"/>
      <c r="L198" s="170"/>
      <c r="M198" s="170"/>
      <c r="N198" s="170"/>
      <c r="O198" s="170"/>
      <c r="P198" s="1"/>
      <c r="T198" s="110"/>
      <c r="U198" s="520" t="s">
        <v>109</v>
      </c>
      <c r="V198" s="520"/>
      <c r="W198" s="520"/>
      <c r="X198" s="520"/>
      <c r="Y198" s="520"/>
      <c r="Z198" s="139"/>
      <c r="AA198" s="145"/>
      <c r="AB198" s="194">
        <f>IFERROR(IF(Annexes!O27&gt;'Mon Entreprise'!K8,1-'Mon Entreprise'!M98/'Mon Entreprise'!I98,0),0)</f>
        <v>0</v>
      </c>
      <c r="AC198" s="1"/>
      <c r="AD198" s="1"/>
      <c r="AE198" s="13"/>
    </row>
    <row r="199" spans="1:31" ht="16.5" hidden="1" customHeight="1">
      <c r="B199" s="103"/>
      <c r="C199" s="213"/>
      <c r="D199" s="212"/>
      <c r="E199" s="212"/>
      <c r="F199" s="212"/>
      <c r="G199" s="212"/>
      <c r="H199" s="212"/>
      <c r="I199" s="212"/>
      <c r="J199" s="212"/>
      <c r="K199" s="212"/>
      <c r="L199" s="212"/>
      <c r="M199" s="212"/>
      <c r="N199" s="212"/>
      <c r="O199" s="212"/>
      <c r="P199" s="1"/>
      <c r="T199" s="14"/>
      <c r="U199" s="521" t="s">
        <v>8</v>
      </c>
      <c r="V199" s="521"/>
      <c r="W199" s="521"/>
      <c r="X199" s="521"/>
      <c r="Y199" s="521"/>
      <c r="Z199" s="1"/>
      <c r="AA199" s="14"/>
      <c r="AB199" s="211" t="str">
        <f>IF((AND(Annexes!F5&gt;1,Annexes!F5&lt;=Annexes!H6)),"OUI","NON")</f>
        <v>NON</v>
      </c>
      <c r="AC199" s="1"/>
      <c r="AD199" s="1"/>
      <c r="AE199" s="13"/>
    </row>
    <row r="200" spans="1:31" ht="16.5" hidden="1" customHeight="1">
      <c r="B200" s="103"/>
      <c r="C200" s="505" t="s">
        <v>112</v>
      </c>
      <c r="D200" s="505"/>
      <c r="E200" s="505"/>
      <c r="F200" s="505"/>
      <c r="G200" s="505"/>
      <c r="H200" s="505"/>
      <c r="I200" s="505"/>
      <c r="J200" s="505"/>
      <c r="K200" s="505"/>
      <c r="L200" s="505"/>
      <c r="M200" s="505"/>
      <c r="N200" s="505"/>
      <c r="O200" s="505"/>
      <c r="P200" s="1"/>
      <c r="T200" s="14"/>
      <c r="U200" s="246"/>
      <c r="V200" s="246"/>
      <c r="W200" s="246"/>
      <c r="X200" s="246"/>
      <c r="Y200" s="246" t="s">
        <v>9</v>
      </c>
      <c r="Z200" s="1"/>
      <c r="AA200" s="14"/>
      <c r="AB200" s="245" t="str">
        <f>IF(AND(Annexes!F7&gt;1,Annexes!F7&lt;=Annexes!H8),"OUI","NON")</f>
        <v>NON</v>
      </c>
      <c r="AC200" s="1"/>
      <c r="AD200" s="1"/>
      <c r="AE200" s="13"/>
    </row>
    <row r="201" spans="1:31" ht="16.5" hidden="1" customHeight="1">
      <c r="B201" s="103"/>
      <c r="C201" s="505"/>
      <c r="D201" s="505"/>
      <c r="E201" s="505"/>
      <c r="F201" s="505"/>
      <c r="G201" s="505"/>
      <c r="H201" s="505"/>
      <c r="I201" s="505"/>
      <c r="J201" s="505"/>
      <c r="K201" s="505"/>
      <c r="L201" s="505"/>
      <c r="M201" s="505"/>
      <c r="N201" s="505"/>
      <c r="O201" s="505"/>
      <c r="P201" s="1"/>
      <c r="T201" s="491" t="s">
        <v>305</v>
      </c>
      <c r="U201" s="490"/>
      <c r="V201" s="490"/>
      <c r="W201" s="490"/>
      <c r="X201" s="490"/>
      <c r="Y201" s="490"/>
      <c r="Z201" s="1"/>
      <c r="AA201" s="14"/>
      <c r="AB201" s="211" t="str">
        <f>IF(Annexes!M17=TRUE,"OUI","NON")</f>
        <v>NON</v>
      </c>
      <c r="AC201" s="1"/>
      <c r="AD201" s="1"/>
      <c r="AE201" s="13"/>
    </row>
    <row r="202" spans="1:31" ht="16.5" hidden="1" customHeight="1">
      <c r="B202" s="103"/>
      <c r="C202" s="505"/>
      <c r="D202" s="505"/>
      <c r="E202" s="505"/>
      <c r="F202" s="505"/>
      <c r="G202" s="505"/>
      <c r="H202" s="505"/>
      <c r="I202" s="505"/>
      <c r="J202" s="505"/>
      <c r="K202" s="505"/>
      <c r="L202" s="505"/>
      <c r="M202" s="505"/>
      <c r="N202" s="505"/>
      <c r="O202" s="505"/>
      <c r="P202" s="1"/>
      <c r="T202" s="14"/>
      <c r="U202" s="490" t="s">
        <v>12</v>
      </c>
      <c r="V202" s="490"/>
      <c r="W202" s="490"/>
      <c r="X202" s="490"/>
      <c r="Y202" s="490"/>
      <c r="Z202" s="1"/>
      <c r="AA202" s="14"/>
      <c r="AB202" s="211" t="b">
        <f>Annexes!M19</f>
        <v>0</v>
      </c>
      <c r="AC202" s="1"/>
      <c r="AD202" s="1"/>
      <c r="AE202" s="13"/>
    </row>
    <row r="203" spans="1:31" ht="16.5" hidden="1" customHeight="1">
      <c r="B203" s="103"/>
      <c r="C203" s="213"/>
      <c r="D203" s="212"/>
      <c r="E203" s="417" t="str">
        <f>IF('Mon Entreprise'!K8&gt;Annexes!Q24,"",IF(OR(AB199="OUI",AND(OR(AB201="OUI",AB200="OUI"),OR(AB196&gt;=Annexes!P5,AB197&gt;=Annexes!P5,'Mes Aides'!AB145&gt;=0.1)),AB202=TRUE),"",IF(AND(OR(AB201="OUI",AB200="OUI"),OR(AB196&lt;Annexes!P5,AB197&lt;Annexes!P5,'Mes Aides'!AB198&lt;0.1)),"L'entreprise fait partie des entreprises mentionnées en annexe 2 ou 3 du décret mais n'a pas eu une perte de CA d'au-Moins 80 %, entre le 15/03/2020 et le 15/05/2020 ou Novembre 2020 ou 10 % entre 2019 et 2020","L'entreprise ne fait pas partie des entreprises ayant une fermeture administrative et ne fait pas partie des activités mentionnées aux annexes 1, 2 et 3 du décret ayant une perte significative")))</f>
        <v>L'entreprise ne fait pas partie des entreprises ayant une fermeture administrative et ne fait pas partie des activités mentionnées aux annexes 1, 2 et 3 du décret ayant une perte significative</v>
      </c>
      <c r="F203" s="417"/>
      <c r="G203" s="417"/>
      <c r="H203" s="417"/>
      <c r="I203" s="417"/>
      <c r="J203" s="417"/>
      <c r="K203" s="417"/>
      <c r="L203" s="417"/>
      <c r="M203" s="417"/>
      <c r="N203" s="417"/>
      <c r="O203" s="417"/>
      <c r="P203" s="1"/>
      <c r="T203" s="14"/>
      <c r="U203" s="525" t="s">
        <v>72</v>
      </c>
      <c r="V203" s="525"/>
      <c r="W203" s="525"/>
      <c r="X203" s="525"/>
      <c r="Y203" s="525"/>
      <c r="Z203" s="139"/>
      <c r="AA203" s="145"/>
      <c r="AB203" s="210" t="str">
        <f>IF('Mon Entreprise'!K8&lt;=Annexes!Q26,"Oui","Non")</f>
        <v>Oui</v>
      </c>
      <c r="AC203" s="139"/>
      <c r="AD203" s="1"/>
      <c r="AE203" s="13"/>
    </row>
    <row r="204" spans="1:31" ht="16.5" hidden="1" customHeight="1">
      <c r="B204" s="168"/>
      <c r="C204" s="213"/>
      <c r="D204" s="212"/>
      <c r="E204" s="417"/>
      <c r="F204" s="417"/>
      <c r="G204" s="417"/>
      <c r="H204" s="417"/>
      <c r="I204" s="417"/>
      <c r="J204" s="417"/>
      <c r="K204" s="417"/>
      <c r="L204" s="417"/>
      <c r="M204" s="417"/>
      <c r="N204" s="417"/>
      <c r="O204" s="417"/>
      <c r="P204" s="1"/>
      <c r="T204" s="14"/>
      <c r="U204" s="525" t="s">
        <v>84</v>
      </c>
      <c r="V204" s="525"/>
      <c r="W204" s="525"/>
      <c r="X204" s="525"/>
      <c r="Y204" s="525"/>
      <c r="Z204" s="139"/>
      <c r="AA204" s="145"/>
      <c r="AB204" s="210">
        <f>IF('Mon Entreprise'!K8&gt;=Annexes!O20,IF(AB179&gt;=AB181,AB179,AB181),IF(AB179&gt;=AB180,AB179,AB180))</f>
        <v>0</v>
      </c>
      <c r="AC204" s="139"/>
      <c r="AD204" s="1"/>
      <c r="AE204" s="13"/>
    </row>
    <row r="205" spans="1:31" ht="16.5" hidden="1" customHeight="1">
      <c r="A205" s="99"/>
      <c r="B205" s="103"/>
      <c r="C205" s="213"/>
      <c r="D205" s="523" t="str">
        <f>IFERROR(IF('Mon Entreprise'!K8&gt;=Annexes!O20,IF(AB179&gt;=AB181,"- Le CA de référence est celui de Janvier 2019, soit une perte de "&amp;ROUND(AB179,0)&amp;" €"&amp;" ==&gt; "&amp;ROUND(AE179*100,0)&amp;" %","- Le CA de référence est celui de la création, soit une perte de "&amp;ROUND(AB181,0)&amp;" €"&amp;" ==&gt; "&amp;ROUND(AE181*100,0)&amp;" %"),IF(AB179&gt;=AB180,"- Le CA de référence est celui de Janvier 2019, soit une perte de "&amp;ROUND(AB179,0)&amp;" €"&amp;" ==&gt; "&amp;ROUND(AE179*100,0)&amp;" %","- Le CA de référence est celui de l'exercice 2019, soit une perte de "&amp;ROUND(AB180,0)&amp;" €"&amp;" ==&gt; "&amp;ROUND(AE180*100,0)&amp;" %")),"")</f>
        <v>- Le CA de référence est celui de Janvier 2019, soit une perte de 0 € ==&gt; 0 %</v>
      </c>
      <c r="E205" s="523"/>
      <c r="F205" s="523"/>
      <c r="G205" s="523"/>
      <c r="H205" s="523"/>
      <c r="I205" s="523"/>
      <c r="J205" s="523"/>
      <c r="K205" s="523"/>
      <c r="L205" s="523"/>
      <c r="M205" s="523"/>
      <c r="N205" s="523"/>
      <c r="O205" s="523"/>
      <c r="P205" s="1"/>
      <c r="T205" s="14"/>
      <c r="U205" s="525" t="s">
        <v>85</v>
      </c>
      <c r="V205" s="525"/>
      <c r="W205" s="525"/>
      <c r="X205" s="525"/>
      <c r="Y205" s="525"/>
      <c r="Z205" s="139"/>
      <c r="AA205" s="145"/>
      <c r="AB205" s="210">
        <f>IF('Mon Entreprise'!K8&gt;=Annexes!O20,IF(AB179&gt;=AB181,AE179,AE181),IF(AB179&gt;=AB180,AE179,AE180))</f>
        <v>0</v>
      </c>
      <c r="AC205" s="139"/>
      <c r="AD205" s="1"/>
      <c r="AE205" s="13"/>
    </row>
    <row r="206" spans="1:31" ht="16.5" hidden="1" customHeight="1">
      <c r="B206" s="103"/>
      <c r="C206" s="213"/>
      <c r="D206" s="215" t="str">
        <f>IF(OR(AB199="OUI",AB202=TRUE),"- Sans ticket modérateur",IF(AND(OR(AB201="OUI",AB200="OUI"),OR(AB196&gt;=0.8,AB197&gt;=0.8,AB198&gt;=0.1)),"- La Perte de référence est plafonnée à 80 %, soit "&amp;ROUND(AB208,0)&amp;" €","- Sans ticket modérateur"))</f>
        <v>- Sans ticket modérateur</v>
      </c>
      <c r="E206" s="206"/>
      <c r="F206" s="206"/>
      <c r="G206" s="206"/>
      <c r="H206" s="206"/>
      <c r="I206" s="206"/>
      <c r="J206" s="206"/>
      <c r="K206" s="206"/>
      <c r="L206" s="206"/>
      <c r="M206" s="206"/>
      <c r="N206" s="206"/>
      <c r="O206" s="206"/>
      <c r="P206" s="1"/>
      <c r="T206" s="14"/>
      <c r="U206" s="502" t="s">
        <v>74</v>
      </c>
      <c r="V206" s="502"/>
      <c r="W206" s="502"/>
      <c r="X206" s="502"/>
      <c r="Y206" s="502"/>
      <c r="Z206" s="139"/>
      <c r="AA206" s="145"/>
      <c r="AB206" s="210">
        <f>IF(OR(AB199="OUI",AB202=TRUE),1,IF(AND(OR(AB201="OUI",AB200="OUI"),OR(AB196&gt;=0.8,AB197&gt;=0.8,AB198&gt;=0.1)),0.8,1))</f>
        <v>1</v>
      </c>
      <c r="AC206" s="139"/>
      <c r="AD206" s="1"/>
      <c r="AE206" s="13"/>
    </row>
    <row r="207" spans="1:31" ht="16.5" hidden="1" customHeight="1" thickBot="1">
      <c r="B207" s="103"/>
      <c r="C207" s="213"/>
      <c r="D207" s="206"/>
      <c r="E207" s="206"/>
      <c r="F207" s="206"/>
      <c r="G207" s="206"/>
      <c r="H207" s="206"/>
      <c r="I207" s="206"/>
      <c r="J207" s="206"/>
      <c r="K207" s="206"/>
      <c r="L207" s="206"/>
      <c r="M207" s="206"/>
      <c r="N207" s="206"/>
      <c r="O207" s="206"/>
      <c r="P207" s="1"/>
      <c r="T207" s="14"/>
      <c r="U207" s="502" t="s">
        <v>80</v>
      </c>
      <c r="V207" s="502"/>
      <c r="W207" s="502"/>
      <c r="X207" s="502"/>
      <c r="Y207" s="502"/>
      <c r="Z207" s="139"/>
      <c r="AA207" s="145"/>
      <c r="AB207" s="210">
        <f>IF('Mon Entreprise'!K8&gt;=Annexes!O20,IF(AB179&gt;=AB181,Y179,Y181),IF(AB179&gt;=AB180,Y179,Y180))</f>
        <v>0</v>
      </c>
      <c r="AC207" s="139"/>
      <c r="AD207" s="1"/>
      <c r="AE207" s="13"/>
    </row>
    <row r="208" spans="1:31" ht="16.5" hidden="1" customHeight="1">
      <c r="B208" s="103"/>
      <c r="C208" s="213"/>
      <c r="D208" s="508" t="str">
        <f>IFERROR(IF('Mon Entreprise'!K8&gt;Annexes!Q26,"Vous avez débuté votre activité après le 31 Octobre 2020, vous ne pouvez donc pas bénéficier de cette aide",IF(AB202=TRUE,IF(AB208&gt;Annexes!O6,"Dans votre cas, l'aide est Plafonnée, à "&amp;Annexes!O6&amp;" € pour le mois de Janvier","Vous pouvez bénéficier, au titre de cette aide, d'un montant de "&amp;ROUND(AB208,0)&amp;" € pour le mois de Janvier"),IF(AB205&gt;=0.5,IF(OR(AB199="OUI",AND(OR(AB201="OUI",AB200="OUI"),OR(AB196&gt;=Annexes!P5,AB197&gt;=Annexes!P5,AB198&gt;=0.1))),IF(AB208&gt;Annexes!O6,"Dans votre cas, l'aide est Plafonnée, à "&amp;Annexes!O6&amp;" € pour le mois de Janvier","Vous pouvez bénéficier, au titre de cette aide, d'un montant de "&amp;ROUND(AB208,0)&amp;" € pour le mois de Janvier"),IF(AND(OR(AB201="OUI",AB200="OUI"),OR(AB196&lt;Annexes!P5,AB197&lt;Annexes!P5)),"L'entreprise fait partie des entreprises mentionnées en annexe 2 ou 3 du décret, mais n'a pas eu une perte de CA d'au-Moins 80 % entre le 15/03/2020 et le 15/05/2020 ou au mois de Novembre 2020 ou 10 % de perte entre 2019 et 2020","L'entreprise ne fait pas partie des entreprises ayant une fermeture administrative et ne fait pas partie des activités mentionnées aux annexes 1, 2 et 3 du décret")),"L'entreprise n'a pas une perte d'au moins 50 % en Janvier 2021"))),"Vous n'avez pas indiqué de chiffre d'affaires de référence")</f>
        <v>L'entreprise n'a pas une perte d'au moins 50 % en Janvier 2021</v>
      </c>
      <c r="E208" s="509"/>
      <c r="F208" s="509"/>
      <c r="G208" s="509"/>
      <c r="H208" s="509"/>
      <c r="I208" s="509"/>
      <c r="J208" s="509"/>
      <c r="K208" s="509"/>
      <c r="L208" s="509"/>
      <c r="M208" s="509"/>
      <c r="N208" s="509"/>
      <c r="O208" s="510"/>
      <c r="P208" s="1"/>
      <c r="T208" s="14"/>
      <c r="U208" s="490" t="s">
        <v>104</v>
      </c>
      <c r="V208" s="490"/>
      <c r="W208" s="490"/>
      <c r="X208" s="490"/>
      <c r="Y208" s="490"/>
      <c r="Z208" s="1"/>
      <c r="AA208" s="14"/>
      <c r="AB208" s="211">
        <f>IF(AB206=1,AB204,IF(AB204*AB206&gt;1500,IF(AB204&gt;1500,AB204*AB206,"Impossible"),IF(AB204&lt;1500,AB204,1500)))</f>
        <v>0</v>
      </c>
      <c r="AC208" s="1"/>
      <c r="AD208" s="1"/>
      <c r="AE208" s="13"/>
    </row>
    <row r="209" spans="2:31" ht="16.5" hidden="1" customHeight="1">
      <c r="B209" s="173"/>
      <c r="C209" s="213"/>
      <c r="D209" s="511"/>
      <c r="E209" s="512"/>
      <c r="F209" s="512"/>
      <c r="G209" s="512"/>
      <c r="H209" s="512"/>
      <c r="I209" s="512"/>
      <c r="J209" s="512"/>
      <c r="K209" s="512"/>
      <c r="L209" s="512"/>
      <c r="M209" s="512"/>
      <c r="N209" s="512"/>
      <c r="O209" s="513"/>
      <c r="P209" s="1"/>
      <c r="T209" s="14"/>
      <c r="U209" s="211"/>
      <c r="V209" s="211"/>
      <c r="W209" s="211"/>
      <c r="X209" s="211"/>
      <c r="Y209" s="211"/>
      <c r="Z209" s="1"/>
      <c r="AA209" s="1"/>
      <c r="AB209" s="1"/>
      <c r="AC209" s="1"/>
      <c r="AD209" s="1"/>
      <c r="AE209" s="13"/>
    </row>
    <row r="210" spans="2:31" ht="16.5" hidden="1" customHeight="1">
      <c r="B210" s="103"/>
      <c r="C210" s="213"/>
      <c r="D210" s="511"/>
      <c r="E210" s="512"/>
      <c r="F210" s="512"/>
      <c r="G210" s="512"/>
      <c r="H210" s="512"/>
      <c r="I210" s="512"/>
      <c r="J210" s="512"/>
      <c r="K210" s="512"/>
      <c r="L210" s="512"/>
      <c r="M210" s="512"/>
      <c r="N210" s="512"/>
      <c r="O210" s="513"/>
      <c r="P210" s="1"/>
      <c r="T210" s="14"/>
      <c r="U210" s="490"/>
      <c r="V210" s="490"/>
      <c r="W210" s="490"/>
      <c r="X210" s="490"/>
      <c r="Y210" s="490"/>
      <c r="Z210" s="1"/>
      <c r="AA210" s="1"/>
      <c r="AB210" s="1"/>
      <c r="AC210" s="1"/>
      <c r="AD210" s="1"/>
      <c r="AE210" s="13"/>
    </row>
    <row r="211" spans="2:31" ht="16.5" hidden="1" customHeight="1" thickBot="1">
      <c r="B211" s="103"/>
      <c r="C211" s="213"/>
      <c r="D211" s="514"/>
      <c r="E211" s="515"/>
      <c r="F211" s="515"/>
      <c r="G211" s="515"/>
      <c r="H211" s="515"/>
      <c r="I211" s="515"/>
      <c r="J211" s="515"/>
      <c r="K211" s="515"/>
      <c r="L211" s="515"/>
      <c r="M211" s="515"/>
      <c r="N211" s="515"/>
      <c r="O211" s="516"/>
      <c r="P211" s="1"/>
      <c r="T211" s="14"/>
      <c r="U211" s="211"/>
      <c r="V211" s="211"/>
      <c r="W211" s="211"/>
      <c r="X211" s="211"/>
      <c r="Y211" s="211"/>
      <c r="Z211" s="1"/>
      <c r="AA211" s="1"/>
      <c r="AB211" s="1"/>
      <c r="AC211" s="1"/>
      <c r="AD211" s="1"/>
      <c r="AE211" s="13"/>
    </row>
    <row r="212" spans="2:31" ht="16.5" hidden="1" customHeight="1">
      <c r="B212" s="103"/>
      <c r="C212" s="169"/>
      <c r="D212" s="174"/>
      <c r="E212" s="174"/>
      <c r="F212" s="174"/>
      <c r="G212" s="174"/>
      <c r="H212" s="174"/>
      <c r="I212" s="174"/>
      <c r="J212" s="174"/>
      <c r="K212" s="174"/>
      <c r="L212" s="174"/>
      <c r="M212" s="174"/>
      <c r="N212" s="174"/>
      <c r="O212" s="174"/>
      <c r="P212" s="1"/>
      <c r="T212" s="14"/>
      <c r="U212" s="1"/>
      <c r="V212" s="1"/>
      <c r="W212" s="1"/>
      <c r="X212" s="1"/>
      <c r="Y212" s="1"/>
      <c r="Z212" s="1"/>
      <c r="AA212" s="1"/>
      <c r="AB212" s="1"/>
      <c r="AC212" s="1"/>
      <c r="AD212" s="1"/>
      <c r="AE212" s="13"/>
    </row>
    <row r="213" spans="2:31" ht="16.5" hidden="1" customHeight="1">
      <c r="B213" s="103"/>
      <c r="C213" s="213"/>
      <c r="D213" s="206"/>
      <c r="E213" s="206"/>
      <c r="F213" s="206"/>
      <c r="G213" s="206"/>
      <c r="H213" s="206"/>
      <c r="I213" s="206"/>
      <c r="J213" s="206"/>
      <c r="K213" s="206"/>
      <c r="L213" s="206"/>
      <c r="M213" s="206"/>
      <c r="N213" s="206"/>
      <c r="O213" s="206"/>
      <c r="P213" s="1"/>
      <c r="T213" s="14"/>
      <c r="U213" s="1"/>
      <c r="V213" s="1"/>
      <c r="W213" s="1"/>
      <c r="X213" s="1"/>
      <c r="Y213" s="1"/>
      <c r="Z213" s="1"/>
      <c r="AA213" s="1"/>
      <c r="AB213" s="1"/>
      <c r="AC213" s="1"/>
      <c r="AD213" s="1"/>
      <c r="AE213" s="13"/>
    </row>
    <row r="214" spans="2:31" ht="16.5" hidden="1" customHeight="1">
      <c r="B214" s="103"/>
      <c r="C214" s="529" t="s">
        <v>304</v>
      </c>
      <c r="D214" s="529"/>
      <c r="E214" s="529"/>
      <c r="F214" s="529"/>
      <c r="G214" s="529"/>
      <c r="H214" s="529"/>
      <c r="I214" s="529"/>
      <c r="J214" s="529"/>
      <c r="K214" s="529"/>
      <c r="L214" s="529"/>
      <c r="M214" s="529"/>
      <c r="N214" s="529"/>
      <c r="O214" s="529"/>
      <c r="P214" s="1"/>
      <c r="T214" s="14"/>
      <c r="U214" s="502" t="s">
        <v>82</v>
      </c>
      <c r="V214" s="502"/>
      <c r="W214" s="502"/>
      <c r="X214" s="502"/>
      <c r="Y214" s="502"/>
      <c r="Z214" s="68"/>
      <c r="AA214" s="1"/>
      <c r="AB214" s="1">
        <f>IFERROR(IF(AB187="Non",0,IF(AB190&gt;=0.5,IF(AB189&gt;Annexes!O5,Annexes!O5,ROUND(AB189,0)),0)),0)</f>
        <v>0</v>
      </c>
      <c r="AC214" s="1"/>
      <c r="AD214" s="1"/>
      <c r="AE214" s="13"/>
    </row>
    <row r="215" spans="2:31" ht="16.5" hidden="1" customHeight="1">
      <c r="B215" s="103"/>
      <c r="C215" s="529"/>
      <c r="D215" s="529"/>
      <c r="E215" s="529"/>
      <c r="F215" s="529"/>
      <c r="G215" s="529"/>
      <c r="H215" s="529"/>
      <c r="I215" s="529"/>
      <c r="J215" s="529"/>
      <c r="K215" s="529"/>
      <c r="L215" s="529"/>
      <c r="M215" s="529"/>
      <c r="N215" s="529"/>
      <c r="O215" s="529"/>
      <c r="P215" s="1"/>
      <c r="T215" s="14"/>
      <c r="U215" s="502" t="s">
        <v>81</v>
      </c>
      <c r="V215" s="502"/>
      <c r="W215" s="502"/>
      <c r="X215" s="502"/>
      <c r="Y215" s="502"/>
      <c r="Z215" s="68"/>
      <c r="AA215" s="1"/>
      <c r="AB215" s="1">
        <f>IFERROR(IF('Mon Entreprise'!K8&gt;Annexes!Q26,0,IF(AB202=TRUE,IF(AB208&gt;Annexes!O6,Annexes!O6,ROUND(AB208,0)),IF(AB205&gt;=0.5,IF(OR(AB199="OUI",AND(OR(AB201="OUI",AB200="OUI"),OR(AB196&gt;=Annexes!P5,AB197&gt;=Annexes!P5,AB198&gt;=0.1))),IF(AB208&gt;Annexes!O6,Annexes!O6,ROUND(AB208,0)),IF(AND(OR(AB201="OUI",AB200="OUI"),OR(AB196&lt;Annexes!P5,AB197&lt;Annexes!P5)),0,0)),0))),0)</f>
        <v>0</v>
      </c>
      <c r="AC215" s="1"/>
      <c r="AD215" s="1"/>
      <c r="AE215" s="13"/>
    </row>
    <row r="216" spans="2:31" ht="16.5" hidden="1" customHeight="1">
      <c r="B216" s="173"/>
      <c r="C216" s="529"/>
      <c r="D216" s="529"/>
      <c r="E216" s="529"/>
      <c r="F216" s="529"/>
      <c r="G216" s="529"/>
      <c r="H216" s="529"/>
      <c r="I216" s="529"/>
      <c r="J216" s="529"/>
      <c r="K216" s="529"/>
      <c r="L216" s="529"/>
      <c r="M216" s="529"/>
      <c r="N216" s="529"/>
      <c r="O216" s="529"/>
      <c r="P216" s="1"/>
      <c r="T216" s="14"/>
      <c r="U216" s="502" t="s">
        <v>399</v>
      </c>
      <c r="V216" s="502"/>
      <c r="W216" s="502"/>
      <c r="X216" s="502"/>
      <c r="Y216" s="502"/>
      <c r="Z216" s="68"/>
      <c r="AA216" s="1"/>
      <c r="AB216" s="1">
        <f>IFERROR(IF('Mon Entreprise'!K8&gt;Annexes!Q26,0,IF(AB202=TRUE,IF(AB207=0,0,IF(AB204&lt;AB207*0.2,ROUND(AB204,0),IF(AB207*0.2&gt;=200000,Annexes!O8,ROUND(AB207*0.2,0)))),IF(OR(AB199="OUI",AND(AB200="OUI",OR(AB196&gt;=0.8,AB197&gt;=0.8,AB198&gt;=0.1))),IF(AB205&gt;=0.7,IF(AB204&lt;AB207*0.2,ROUND(AB204,0),IF(AB207*0.2&gt;=200000,Annexes!O8,ROUND(AB207*0.2,0))),IF(AB205&gt;=0.5,IF(AB204&lt;AB207*0.15,ROUND(AB204,0),IF(AB207*0.15&gt;=200000,Annexes!O8,ROUND(AB207*0.15,0))),IF(AND(AB201="OUI",OR(AB196&gt;=0.8,AB197&gt;=0.8,AB198&gt;=0.1),AB205&gt;=0.7),IF(AB204&lt;AB207*0.2,ROUND(AB204,0),IF(AB207*0.2&gt;=200000,Annexes!O8,ROUND(AB207*0.2,0))),0))),IF(AND(AB201="OUI",OR(AB196&gt;=0.8,AB197&gt;=0.8,AB198&gt;=0.1),AB205&gt;=0.7),IF(AB204&lt;AB207*0.2,ROUND(AB204,0),IF(AB207*0.2&gt;=200000,Annexes!O8,ROUND(AB207*0.2,0))),0)))),0)</f>
        <v>0</v>
      </c>
      <c r="AC216" s="1"/>
      <c r="AD216" s="1"/>
      <c r="AE216" s="13"/>
    </row>
    <row r="217" spans="2:31" ht="16.5" hidden="1" customHeight="1">
      <c r="B217" s="173"/>
      <c r="C217" s="213"/>
      <c r="D217" s="212"/>
      <c r="E217" s="417" t="str">
        <f>IF('Mon Entreprise'!K8&gt;Annexes!Q24,"",IF(OR(AB199="OUI",AND(OR(AB201="OUI",AB200="OUI"),OR(AB196&gt;=Annexes!P5,AB197&gt;=Annexes!P5,'Mes Aides'!AB145&gt;=0.1)),AB202=TRUE),"",IF(AND(OR(AB201="OUI",AB200="OUI"),OR(AB196&lt;Annexes!P5,AB197&lt;Annexes!P5,'Mes Aides'!AB145&lt;0.1)),"L'entreprise fait partie des entreprises mentionnées en annexe 2 ou 3 du décret mais n'a pas eu une perte de CA d'au-Moins 80 %, entre le 15/03/2020 et le 15/05/2020 ou Novembre 2020 ou 10 % entre 2019 et 2020","L'entreprise ne fait pas partie des entreprises ayant une fermeture administrative et ne fait pas partie des activités mentionnées aux annexes 1, 2 et 3 du décret")))</f>
        <v>L'entreprise ne fait pas partie des entreprises ayant une fermeture administrative et ne fait pas partie des activités mentionnées aux annexes 1, 2 et 3 du décret</v>
      </c>
      <c r="F217" s="417"/>
      <c r="G217" s="417"/>
      <c r="H217" s="417"/>
      <c r="I217" s="417"/>
      <c r="J217" s="417"/>
      <c r="K217" s="417"/>
      <c r="L217" s="417"/>
      <c r="M217" s="417"/>
      <c r="N217" s="417"/>
      <c r="O217" s="417"/>
      <c r="P217" s="1"/>
      <c r="T217" s="14"/>
      <c r="U217" s="1"/>
      <c r="V217" s="1"/>
      <c r="W217" s="1"/>
      <c r="X217" s="1"/>
      <c r="Y217" s="1"/>
      <c r="Z217" s="1"/>
      <c r="AA217" s="1"/>
      <c r="AB217" s="1"/>
      <c r="AC217" s="1"/>
      <c r="AD217" s="1"/>
      <c r="AE217" s="13"/>
    </row>
    <row r="218" spans="2:31" ht="30" hidden="1" customHeight="1">
      <c r="B218" s="173"/>
      <c r="C218" s="213"/>
      <c r="D218" s="212"/>
      <c r="E218" s="417"/>
      <c r="F218" s="417"/>
      <c r="G218" s="417"/>
      <c r="H218" s="417"/>
      <c r="I218" s="417"/>
      <c r="J218" s="417"/>
      <c r="K218" s="417"/>
      <c r="L218" s="417"/>
      <c r="M218" s="417"/>
      <c r="N218" s="417"/>
      <c r="O218" s="417"/>
      <c r="P218" s="1"/>
      <c r="T218" s="14"/>
      <c r="U218" s="1"/>
      <c r="V218" s="1"/>
      <c r="W218" s="1"/>
      <c r="X218" s="1"/>
      <c r="Y218" s="1"/>
      <c r="Z218" s="1"/>
      <c r="AA218" s="1"/>
      <c r="AB218" s="1"/>
      <c r="AC218" s="1"/>
      <c r="AD218" s="1"/>
      <c r="AE218" s="13"/>
    </row>
    <row r="219" spans="2:31" ht="16.5" hidden="1" customHeight="1">
      <c r="B219" s="173"/>
      <c r="C219" s="213"/>
      <c r="D219" s="417" t="str">
        <f>IFERROR(IF('Mon Entreprise'!K8&gt;=Annexes!O20,IF(AB179&gt;=AB181,"- Le CA de référence est celui de Janvier 2019, soit une perte de "&amp;ROUND(AB179,0)&amp;" €"&amp;" ==&gt; "&amp;ROUND(AE179*100,0)&amp;" %","- Le CA de référence est celui de la création, soit une perte de "&amp;ROUND(AB181,0)&amp;" €"&amp;" ==&gt; "&amp;ROUND(AE181*100,0)&amp;" %"),IF(AB179&gt;=AB180,"- Le CA de référence est celui de Janvier 2019, soit une perte de "&amp;ROUND(AB179,0)&amp;" €"&amp;" ==&gt; "&amp;ROUND(AE179*100,0)&amp;" %","- Le CA de référence est celui de l'exercice 2019, soit une perte de "&amp;ROUND(AB180,0)&amp;" €"&amp;" ==&gt; "&amp;ROUND(AE180*100,0)&amp;" %")),"")</f>
        <v>- Le CA de référence est celui de Janvier 2019, soit une perte de 0 € ==&gt; 0 %</v>
      </c>
      <c r="E219" s="417"/>
      <c r="F219" s="417"/>
      <c r="G219" s="417"/>
      <c r="H219" s="417"/>
      <c r="I219" s="417"/>
      <c r="J219" s="417"/>
      <c r="K219" s="417"/>
      <c r="L219" s="417"/>
      <c r="M219" s="417"/>
      <c r="N219" s="417"/>
      <c r="O219" s="417"/>
      <c r="P219" s="206"/>
      <c r="Q219" s="206"/>
      <c r="T219" s="14"/>
      <c r="U219" s="1"/>
      <c r="V219" s="1"/>
      <c r="W219" s="1"/>
      <c r="X219" s="1"/>
      <c r="Y219" s="1"/>
      <c r="Z219" s="1"/>
      <c r="AA219" s="1"/>
      <c r="AB219" s="1"/>
      <c r="AC219" s="1"/>
      <c r="AD219" s="1"/>
      <c r="AE219" s="13"/>
    </row>
    <row r="220" spans="2:31" ht="16.5" hidden="1" customHeight="1">
      <c r="B220" s="103"/>
      <c r="C220" s="213"/>
      <c r="D220" s="523" t="str">
        <f>IF(AB202=TRUE,"- L'entreprise peut bénéficier d'une aide de 20 % du CA de référence, plafonnée à 200 000 €",IF(OR(AB199="OUI",AND(AB200="OUI",OR(AB196&gt;=0.8,AB197&gt;=0.8,AB198&gt;=0.1))),IF(AB205&gt;=0.7,"- L'entreprise peut bénéficier d'une aide de 20 % du CA de référence, plafonnée à 200 000 €",IF(AB205&gt;=0.5,"- L'entreprise peut bénéficier d'une aide de 15 % du CA de référence, plafonnée à 200 000 €","- L'entreprise n'a subi ni de fermeture administrative au mois de Janvier, ni de perte d'au moins 50 % de son CA")),IF(AND(AB201="OUI",OR(AB196&gt;=0.8,AB197&gt;=0.8,AB198&gt;=0.1),AB205&gt;=0.5),"- L'entreprise peut bénéficier d'une aide de 20 % du CA de référence, plafonnée à 200 000 €","- L'entreprise ne fait ni partie des fermetures administratives au mois de Janvier, ni des activités mentionnées en annexe 1 (S1) ou en annexe 2 (S1 bis) ou Annexe 3 ayant une perte significative")))</f>
        <v>- L'entreprise ne fait ni partie des fermetures administratives au mois de Janvier, ni des activités mentionnées en annexe 1 (S1) ou en annexe 2 (S1 bis) ou Annexe 3 ayant une perte significative</v>
      </c>
      <c r="E220" s="523"/>
      <c r="F220" s="523"/>
      <c r="G220" s="523"/>
      <c r="H220" s="523"/>
      <c r="I220" s="523"/>
      <c r="J220" s="523"/>
      <c r="K220" s="523"/>
      <c r="L220" s="523"/>
      <c r="M220" s="523"/>
      <c r="N220" s="523"/>
      <c r="O220" s="523"/>
      <c r="P220" s="206"/>
      <c r="Q220" s="206"/>
      <c r="T220" s="14"/>
      <c r="U220" s="1"/>
      <c r="V220" s="1"/>
      <c r="W220" s="1"/>
      <c r="X220" s="1"/>
      <c r="Y220" s="1"/>
      <c r="Z220" s="1"/>
      <c r="AA220" s="1"/>
      <c r="AB220" s="1"/>
      <c r="AC220" s="1"/>
      <c r="AD220" s="1"/>
      <c r="AE220" s="13"/>
    </row>
    <row r="221" spans="2:31" ht="16.5" hidden="1" customHeight="1">
      <c r="B221" s="168"/>
      <c r="C221" s="213"/>
      <c r="D221" s="523"/>
      <c r="E221" s="523"/>
      <c r="F221" s="523"/>
      <c r="G221" s="523"/>
      <c r="H221" s="523"/>
      <c r="I221" s="523"/>
      <c r="J221" s="523"/>
      <c r="K221" s="523"/>
      <c r="L221" s="523"/>
      <c r="M221" s="523"/>
      <c r="N221" s="523"/>
      <c r="O221" s="523"/>
      <c r="P221" s="206"/>
      <c r="Q221" s="206"/>
      <c r="T221" s="14"/>
      <c r="U221" s="1"/>
      <c r="V221" s="1"/>
      <c r="W221" s="1"/>
      <c r="X221" s="1"/>
      <c r="Y221" s="1"/>
      <c r="Z221" s="1"/>
      <c r="AA221" s="1"/>
      <c r="AB221" s="1"/>
      <c r="AC221" s="1"/>
      <c r="AD221" s="1"/>
      <c r="AE221" s="13"/>
    </row>
    <row r="222" spans="2:31" ht="16.5" hidden="1" customHeight="1" thickBot="1">
      <c r="B222" s="168"/>
      <c r="C222" s="213"/>
      <c r="D222" s="205"/>
      <c r="E222" s="206"/>
      <c r="F222" s="206"/>
      <c r="G222" s="206"/>
      <c r="H222" s="206"/>
      <c r="I222" s="206"/>
      <c r="J222" s="206"/>
      <c r="K222" s="206"/>
      <c r="L222" s="206"/>
      <c r="M222" s="206"/>
      <c r="N222" s="206"/>
      <c r="O222" s="206"/>
      <c r="P222" s="206"/>
      <c r="Q222" s="206"/>
      <c r="T222" s="14"/>
      <c r="U222" s="1"/>
      <c r="V222" s="1"/>
      <c r="W222" s="1"/>
      <c r="X222" s="1"/>
      <c r="Y222" s="1"/>
      <c r="Z222" s="1"/>
      <c r="AA222" s="1"/>
      <c r="AB222" s="1"/>
      <c r="AC222" s="1"/>
      <c r="AD222" s="1"/>
      <c r="AE222" s="13"/>
    </row>
    <row r="223" spans="2:31" ht="16.5" hidden="1" customHeight="1">
      <c r="B223" s="103"/>
      <c r="C223" s="180"/>
      <c r="D223" s="526" t="str">
        <f>IFERROR(IF('Mon Entreprise'!K8&gt;Annexes!Q26,"Vous avez débuté votre activité après le 31 Octobre 2020, vous ne pouvez donc pas bénéficier de cette aide",IF(AB202=TRUE,IF(AB207=0,"Vous n'avez pas indiqué de chiffre d'affaires de référence",IF(AB204&lt;AB207*0.2,"Dans votre cas, la perte est inférieure à 20 % du CA, l'aide est donc plafonnée à la perte, soit "&amp;ROUND(AB204,0)&amp;" € pour le mois de Janvier",IF(AB207*0.2&gt;=200000,"Dans votre cas, l'aide est plafonnée, à "&amp;Annexes!O8&amp;" € pour le mois de Janvier","Vous pouvez bénéficier, au titre de cette aide, d'un montant de "&amp;ROUND(AB207*0.2,0)&amp;" € pour le mois de Janvier"))),IF(OR(AB199="OUI",AND(AB200="OUI",OR(AB196&gt;=0.8,AB197&gt;=0.8,AB198&gt;=0.1))),IF(AB205&gt;=0.7,IF(AB204&lt;AB207*0.2,"Dans votre cas, la perte est inférieure à 20 % du CA, l'aide est donc plafonnée à la perte, soit "&amp;ROUND(AB204,0)&amp;" € pour le mois de Janvier",IF(AB207*0.2&gt;=200000,"Dans votre cas, l'aide est plafonnée, à "&amp;Annexes!O8&amp;" € pour le mois de Janvier","Vous pouvez bénéficier, au titre de cette aide, d'un montant de "&amp;ROUND(AB207*0.2,0)&amp;" € pour le mois de Janvier")),IF(AB205&gt;=0.5,IF(AB204&lt;AB207*0.15,"Dans votre cas, la perte est inférieure à 15 % du CA, l'aide est donc plafonnée à la perte, soit "&amp;ROUND(AB204,0)&amp;" € pour le mois de Janvier",IF(AB207*0.15&gt;=200000,"Dans votre cas, l'aide est plafonnée, à "&amp;Annexes!O8&amp;" € pour le mois de Janvier","Vous pouvez bénéficier, au titre de cette aide, d'un montant de "&amp;ROUND(AB207*0.15,0)&amp;" € pour le mois de Janvier")),IF(AND(AB201="OUI",OR(AB196&gt;=0.8,AB197&gt;=0.8,AB198&gt;=0.1),AB205&gt;=0.7),IF(AB204&lt;AB207*0.2,"Dans votre cas, la perte est inférieure à 20 % du CA, l'aide est donc plafonnée à la perte, soit "&amp;ROUND(AB204,0)&amp;" € pour le mois de Janvier",IF(AB207*0.2&gt;=200000,"Dans votre cas, l'aide est plafonnée, à "&amp;Annexes!O8&amp;" € pour le mois de Janvier","Vous pouvez bénéficier, au titre de cette aide, d'un montant de "&amp;ROUND(AB207*0.2,0)&amp;" € pour le mois de Janvier")),"L'entreprise ne fait ni partie des fermetures administratives au mois de Janvier, ni des activités mentionnées en annexe 1 (S1) ou 2 (S1 bis) avec 50 % de perte en Janvier ou 3 avec 70 % de Perte en Janvier"))),IF(AND(AB201="OUI",OR(AB196&gt;=0.8,AB197&gt;=0.8,AB198&gt;=0.1),AB205&gt;=0.7),IF(AB204&lt;AB207*0.2,"Dans votre cas, la perte est inférieure à 20 % du CA, l'aide est donc plafonnée à la perte, soit "&amp;ROUND(AB204,0)&amp;" € pour le mois de Janvier",IF(AB207*0.2&gt;=200000,"Dans votre cas, l'aide est plafonnée, à "&amp;Annexes!O8&amp;" € pour le mois de Janvier","Vous pouvez bénéficier, au titre de cette aide, d'un montant de "&amp;ROUND(AB207*0.2,0)&amp;" € pour le mois de Janvier")),"L'entreprise ne fait ni partie des fermetures administratives au mois de Janvier, ni des activités mentionnées en annexe 1 (S1) ou en annexe 2 (S1 bis) avec 50 % de perte en Janvier ou 3 avec 70 % de Perte en Janvier")))),"Vous n'avez pas indiqué de chiffre d'affaires de référence")</f>
        <v>L'entreprise ne fait ni partie des fermetures administratives au mois de Janvier, ni des activités mentionnées en annexe 1 (S1) ou en annexe 2 (S1 bis) avec 50 % de perte en Janvier ou 3 avec 70 % de Perte en Janvier</v>
      </c>
      <c r="E223" s="509"/>
      <c r="F223" s="509"/>
      <c r="G223" s="509"/>
      <c r="H223" s="509"/>
      <c r="I223" s="509"/>
      <c r="J223" s="509"/>
      <c r="K223" s="509"/>
      <c r="L223" s="509"/>
      <c r="M223" s="509"/>
      <c r="N223" s="509"/>
      <c r="O223" s="510"/>
      <c r="P223" s="206"/>
      <c r="Q223" s="206"/>
      <c r="T223" s="14"/>
      <c r="U223" s="1"/>
      <c r="V223" s="1"/>
      <c r="W223" s="1"/>
      <c r="X223" s="1"/>
      <c r="Y223" s="1"/>
      <c r="Z223" s="1"/>
      <c r="AA223" s="1"/>
      <c r="AB223" s="1"/>
      <c r="AC223" s="1"/>
      <c r="AD223" s="1"/>
      <c r="AE223" s="13"/>
    </row>
    <row r="224" spans="2:31" ht="16.5" hidden="1" customHeight="1">
      <c r="B224" s="103"/>
      <c r="C224" s="180"/>
      <c r="D224" s="511"/>
      <c r="E224" s="512"/>
      <c r="F224" s="512"/>
      <c r="G224" s="512"/>
      <c r="H224" s="512"/>
      <c r="I224" s="512"/>
      <c r="J224" s="512"/>
      <c r="K224" s="512"/>
      <c r="L224" s="512"/>
      <c r="M224" s="512"/>
      <c r="N224" s="512"/>
      <c r="O224" s="513"/>
      <c r="P224" s="206"/>
      <c r="Q224" s="206"/>
      <c r="T224" s="14"/>
      <c r="U224" s="1"/>
      <c r="V224" s="1"/>
      <c r="W224" s="1"/>
      <c r="X224" s="1"/>
      <c r="Y224" s="1"/>
      <c r="Z224" s="1"/>
      <c r="AA224" s="1"/>
      <c r="AB224" s="1"/>
      <c r="AC224" s="1"/>
      <c r="AD224" s="1"/>
      <c r="AE224" s="13"/>
    </row>
    <row r="225" spans="2:31" ht="16.5" hidden="1" customHeight="1">
      <c r="B225" s="103"/>
      <c r="C225" s="180"/>
      <c r="D225" s="511"/>
      <c r="E225" s="512"/>
      <c r="F225" s="512"/>
      <c r="G225" s="512"/>
      <c r="H225" s="512"/>
      <c r="I225" s="512"/>
      <c r="J225" s="512"/>
      <c r="K225" s="512"/>
      <c r="L225" s="512"/>
      <c r="M225" s="512"/>
      <c r="N225" s="512"/>
      <c r="O225" s="513"/>
      <c r="P225" s="175"/>
      <c r="Q225" s="175"/>
      <c r="T225" s="14"/>
      <c r="U225" s="1"/>
      <c r="V225" s="1"/>
      <c r="W225" s="1"/>
      <c r="X225" s="1"/>
      <c r="Y225" s="1"/>
      <c r="Z225" s="1"/>
      <c r="AA225" s="1"/>
      <c r="AB225" s="1"/>
      <c r="AC225" s="1"/>
      <c r="AD225" s="1"/>
      <c r="AE225" s="13"/>
    </row>
    <row r="226" spans="2:31" ht="16.5" hidden="1" customHeight="1" thickBot="1">
      <c r="B226" s="103"/>
      <c r="C226" s="180"/>
      <c r="D226" s="514"/>
      <c r="E226" s="515"/>
      <c r="F226" s="515"/>
      <c r="G226" s="515"/>
      <c r="H226" s="515"/>
      <c r="I226" s="515"/>
      <c r="J226" s="515"/>
      <c r="K226" s="515"/>
      <c r="L226" s="515"/>
      <c r="M226" s="515"/>
      <c r="N226" s="515"/>
      <c r="O226" s="516"/>
      <c r="T226" s="14"/>
      <c r="U226" s="1"/>
      <c r="V226" s="1"/>
      <c r="W226" s="1"/>
      <c r="X226" s="1"/>
      <c r="Y226" s="1"/>
      <c r="Z226" s="1"/>
      <c r="AA226" s="1"/>
      <c r="AB226" s="1"/>
      <c r="AC226" s="1"/>
      <c r="AD226" s="1"/>
      <c r="AE226" s="13"/>
    </row>
    <row r="227" spans="2:31" ht="16.5" hidden="1" customHeight="1">
      <c r="B227" s="5"/>
      <c r="C227" s="5"/>
      <c r="D227" s="216"/>
      <c r="E227" s="216"/>
      <c r="F227" s="216"/>
      <c r="G227" s="216"/>
      <c r="H227" s="216"/>
      <c r="I227" s="216"/>
      <c r="J227" s="216"/>
      <c r="K227" s="216"/>
      <c r="L227" s="216"/>
      <c r="M227" s="216"/>
      <c r="N227" s="216"/>
      <c r="O227" s="216"/>
      <c r="P227" s="177"/>
      <c r="Q227" s="177"/>
      <c r="T227" s="14"/>
      <c r="U227" s="1"/>
      <c r="V227" s="1"/>
      <c r="W227" s="1"/>
      <c r="X227" s="1"/>
      <c r="Y227" s="1"/>
      <c r="Z227" s="1"/>
      <c r="AA227" s="1"/>
      <c r="AB227" s="1"/>
      <c r="AC227" s="1"/>
      <c r="AD227" s="1"/>
      <c r="AE227" s="13"/>
    </row>
    <row r="228" spans="2:31" hidden="1">
      <c r="B228" s="5"/>
      <c r="C228" s="5"/>
      <c r="D228" s="296"/>
      <c r="E228" s="296"/>
      <c r="F228" s="296"/>
      <c r="G228" s="296"/>
      <c r="H228" s="296"/>
      <c r="I228" s="296"/>
      <c r="J228" s="296"/>
      <c r="K228" s="296"/>
      <c r="L228" s="296"/>
      <c r="M228" s="296"/>
      <c r="N228" s="296"/>
      <c r="O228" s="296"/>
      <c r="P228" s="177"/>
      <c r="Q228" s="177"/>
      <c r="T228" s="15"/>
      <c r="U228" s="10"/>
      <c r="V228" s="10"/>
      <c r="W228" s="10"/>
      <c r="X228" s="10"/>
      <c r="Y228" s="10"/>
      <c r="Z228" s="10"/>
      <c r="AA228" s="10"/>
      <c r="AB228" s="10"/>
      <c r="AC228" s="10"/>
      <c r="AD228" s="10"/>
      <c r="AE228" s="4"/>
    </row>
    <row r="229" spans="2:31">
      <c r="B229" s="5"/>
      <c r="C229" s="5"/>
      <c r="D229" s="216"/>
      <c r="E229" s="216"/>
      <c r="F229" s="216"/>
      <c r="G229" s="216"/>
      <c r="H229" s="216"/>
      <c r="I229" s="216"/>
      <c r="J229" s="216"/>
      <c r="K229" s="216"/>
      <c r="L229" s="216"/>
      <c r="M229" s="216"/>
      <c r="N229" s="216"/>
      <c r="O229" s="216"/>
      <c r="P229" s="177"/>
      <c r="Q229" s="177"/>
      <c r="T229" s="16"/>
      <c r="U229" s="11"/>
      <c r="V229" s="11"/>
      <c r="W229" s="11"/>
      <c r="X229" s="11"/>
      <c r="Y229" s="11"/>
      <c r="Z229" s="11"/>
      <c r="AA229" s="11"/>
      <c r="AB229" s="11"/>
      <c r="AC229" s="11"/>
      <c r="AD229" s="11"/>
      <c r="AE229" s="12"/>
    </row>
    <row r="230" spans="2:31" ht="16.5" thickBot="1">
      <c r="B230" s="220"/>
      <c r="C230" s="488" t="s">
        <v>309</v>
      </c>
      <c r="D230" s="488"/>
      <c r="E230" s="488"/>
      <c r="F230" s="488"/>
      <c r="G230" s="488"/>
      <c r="H230" s="488"/>
      <c r="I230" s="221"/>
      <c r="J230" s="221"/>
      <c r="K230" s="221"/>
      <c r="L230" s="221"/>
      <c r="M230" s="221"/>
      <c r="N230" s="221"/>
      <c r="O230" s="221"/>
      <c r="T230" s="14"/>
      <c r="U230" s="1"/>
      <c r="V230" s="1"/>
      <c r="W230" s="1"/>
      <c r="X230" s="1"/>
      <c r="Y230" s="1"/>
      <c r="Z230" s="1"/>
      <c r="AA230" s="1"/>
      <c r="AB230" s="1"/>
      <c r="AC230" s="1"/>
      <c r="AD230" s="1"/>
      <c r="AE230" s="13"/>
    </row>
    <row r="231" spans="2:31" ht="15" customHeight="1">
      <c r="B231" s="63"/>
      <c r="C231" s="24"/>
      <c r="D231" s="24"/>
      <c r="E231" s="24"/>
      <c r="F231" s="24"/>
      <c r="G231" s="24"/>
      <c r="H231" s="63"/>
      <c r="I231" s="1"/>
      <c r="J231" s="1"/>
      <c r="K231" s="1"/>
      <c r="L231" s="1"/>
      <c r="M231" s="1"/>
      <c r="N231" s="1"/>
      <c r="O231" s="1"/>
      <c r="T231" s="25"/>
      <c r="U231" s="490" t="s">
        <v>20</v>
      </c>
      <c r="V231" s="490"/>
      <c r="W231" s="490"/>
      <c r="X231" s="1"/>
      <c r="Y231" s="253" t="s">
        <v>6</v>
      </c>
      <c r="Z231" s="253"/>
      <c r="AA231" s="253"/>
      <c r="AB231" s="253" t="s">
        <v>23</v>
      </c>
      <c r="AC231" s="253"/>
      <c r="AD231" s="253"/>
      <c r="AE231" s="26" t="s">
        <v>24</v>
      </c>
    </row>
    <row r="232" spans="2:31" ht="15" customHeight="1">
      <c r="B232" s="103"/>
      <c r="C232" s="489" t="s">
        <v>312</v>
      </c>
      <c r="D232" s="489"/>
      <c r="E232" s="489"/>
      <c r="F232" s="489"/>
      <c r="G232" s="489"/>
      <c r="H232" s="489"/>
      <c r="I232" s="489"/>
      <c r="J232" s="489"/>
      <c r="K232" s="489"/>
      <c r="L232" s="489"/>
      <c r="M232" s="489"/>
      <c r="N232" s="489"/>
      <c r="O232" s="489"/>
      <c r="P232" s="1"/>
      <c r="T232" s="25"/>
      <c r="U232" s="253"/>
      <c r="V232" s="253"/>
      <c r="W232" s="253"/>
      <c r="X232" s="1"/>
      <c r="Y232" s="253"/>
      <c r="Z232" s="253"/>
      <c r="AA232" s="253"/>
      <c r="AB232" s="253"/>
      <c r="AC232" s="253"/>
      <c r="AD232" s="253"/>
      <c r="AE232" s="26"/>
    </row>
    <row r="233" spans="2:31" ht="15.75" customHeight="1">
      <c r="B233" s="103"/>
      <c r="C233" s="251"/>
      <c r="D233" s="60" t="s">
        <v>123</v>
      </c>
      <c r="E233" s="251"/>
      <c r="F233" s="251"/>
      <c r="G233" s="251"/>
      <c r="H233" s="251"/>
      <c r="I233" s="251"/>
      <c r="J233" s="251"/>
      <c r="K233" s="251"/>
      <c r="L233" s="251"/>
      <c r="M233" s="251"/>
      <c r="N233" s="251"/>
      <c r="O233" s="251"/>
      <c r="P233" s="1"/>
      <c r="T233" s="491" t="s">
        <v>311</v>
      </c>
      <c r="U233" s="490"/>
      <c r="V233" s="490"/>
      <c r="W233" s="490"/>
      <c r="X233" s="1"/>
      <c r="Y233" s="7">
        <f>'Mon Entreprise'!I124</f>
        <v>0</v>
      </c>
      <c r="Z233" s="133"/>
      <c r="AA233" s="21"/>
      <c r="AB233" s="7">
        <f>IF('Mon Entreprise'!I124-'Mon Entreprise'!M124&lt;0,0,'Mon Entreprise'!I124-'Mon Entreprise'!M124)</f>
        <v>0</v>
      </c>
      <c r="AC233" s="13"/>
      <c r="AD233" s="1"/>
      <c r="AE233" s="27">
        <f>IFERROR(1-'Mon Entreprise'!M124/'Mon Entreprise'!I124,0)</f>
        <v>0</v>
      </c>
    </row>
    <row r="234" spans="2:31" ht="16.5" thickBot="1">
      <c r="B234" s="103"/>
      <c r="C234" s="251"/>
      <c r="D234" s="60"/>
      <c r="E234" s="251"/>
      <c r="F234" s="251"/>
      <c r="G234" s="251"/>
      <c r="H234" s="251"/>
      <c r="I234" s="251"/>
      <c r="J234" s="251"/>
      <c r="K234" s="251"/>
      <c r="L234" s="251"/>
      <c r="M234" s="251"/>
      <c r="N234" s="251"/>
      <c r="O234" s="251"/>
      <c r="P234" s="1"/>
      <c r="T234" s="491" t="s">
        <v>25</v>
      </c>
      <c r="U234" s="490"/>
      <c r="V234" s="490"/>
      <c r="W234" s="490"/>
      <c r="X234" s="1"/>
      <c r="Y234" s="7">
        <f>'Mon Entreprise'!I98</f>
        <v>0</v>
      </c>
      <c r="Z234" s="133"/>
      <c r="AA234" s="21"/>
      <c r="AB234" s="7">
        <f>IF('Mon Entreprise'!I98-'Mon Entreprise'!M124&lt;0,0,'Mon Entreprise'!I98-'Mon Entreprise'!M124)</f>
        <v>0</v>
      </c>
      <c r="AC234" s="36"/>
      <c r="AD234" s="1"/>
      <c r="AE234" s="27">
        <f>IFERROR(1-'Mon Entreprise'!M124/'Mon Entreprise'!I98,0)</f>
        <v>0</v>
      </c>
    </row>
    <row r="235" spans="2:31" ht="15.75">
      <c r="B235" s="103"/>
      <c r="C235" s="251"/>
      <c r="D235" s="492" t="str">
        <f>IFERROR(IF(AND(AB271=0,AB272=0,AB273=0),"Vous ne pouvez pas bénéficier du fonds de solidarité pour le mois de Février 2021",IF(AND(AB273&gt;AB272,AB273&gt;AB271),"Votre entreprise peut bénéficier d'une aide de "&amp;AB273&amp;" €, au titre d'une fermeture Administrative avec une perte de 20 % de CA, ou d'une perte d'au moins 50 % ou 70 % du CA pour les activités mentionnées en annexe 1,"&amp;" ou d'une perte d'au moins 70 % du CA pour les activités mentionnées en annexe 2 ou 3 ou dans un centre commercial",IF(AB272&gt;AB271,"Votre entreprise peut bénéficier d'une aide de "&amp;AB272&amp;" €, au titre d'une fermeture Administrative avec une perte de 20 % du CA, ou d'une perte d'au moins 50 % du CA pour les activités mentionnées en annexe 1,"&amp;" ou en annexe 2 ou 3 ou dans un centre commercial ayant une perte de CA d'au moins 80 % entre le 15/03/2020 et le 15/05/2020, au mois de Novembre 2020 ou 10 % de perte entre 2019 et 2020","Votre entreprise peut bénéficier d'une aide de "&amp;AB271&amp;" €, au titre d'une perte d'au-moins 50 % de votre CA en Février 2021"))),"Vous n'avez pas indiqué de chiffre d'affaires de référence")</f>
        <v>Vous ne pouvez pas bénéficier du fonds de solidarité pour le mois de Février 2021</v>
      </c>
      <c r="E235" s="493"/>
      <c r="F235" s="493"/>
      <c r="G235" s="493"/>
      <c r="H235" s="493"/>
      <c r="I235" s="493"/>
      <c r="J235" s="493"/>
      <c r="K235" s="493"/>
      <c r="L235" s="493"/>
      <c r="M235" s="493"/>
      <c r="N235" s="493"/>
      <c r="O235" s="494"/>
      <c r="P235" s="1"/>
      <c r="T235" s="501" t="s">
        <v>22</v>
      </c>
      <c r="U235" s="502"/>
      <c r="V235" s="502"/>
      <c r="W235" s="502"/>
      <c r="X235" s="139"/>
      <c r="Y235" s="140" t="str">
        <f>IF('Mon Entreprise'!I162="","NC",'Mon Entreprise'!I162)</f>
        <v>NC</v>
      </c>
      <c r="Z235" s="191"/>
      <c r="AA235" s="192"/>
      <c r="AB235" s="143" t="str">
        <f>IFERROR(IF('Mon Entreprise'!I162-'Mon Entreprise'!M124&lt;0,0,'Mon Entreprise'!I162-'Mon Entreprise'!M124),"NC")</f>
        <v>NC</v>
      </c>
      <c r="AC235" s="193"/>
      <c r="AD235" s="139"/>
      <c r="AE235" s="146" t="str">
        <f>IFERROR(1-'Mon Entreprise'!M124/'Mon Entreprise'!I162,"NC")</f>
        <v>NC</v>
      </c>
    </row>
    <row r="236" spans="2:31" ht="15.75" customHeight="1">
      <c r="B236" s="103"/>
      <c r="C236" s="251"/>
      <c r="D236" s="495"/>
      <c r="E236" s="496"/>
      <c r="F236" s="496"/>
      <c r="G236" s="496"/>
      <c r="H236" s="496"/>
      <c r="I236" s="496"/>
      <c r="J236" s="496"/>
      <c r="K236" s="496"/>
      <c r="L236" s="496"/>
      <c r="M236" s="496"/>
      <c r="N236" s="496"/>
      <c r="O236" s="497"/>
      <c r="P236" s="1"/>
      <c r="T236" s="14"/>
      <c r="U236" s="1"/>
      <c r="V236" s="1"/>
      <c r="W236" s="1"/>
      <c r="X236" s="1"/>
      <c r="Y236" s="1"/>
      <c r="Z236" s="1"/>
      <c r="AA236" s="1"/>
      <c r="AB236" s="1"/>
      <c r="AC236" s="1"/>
      <c r="AD236" s="1"/>
      <c r="AE236" s="13"/>
    </row>
    <row r="237" spans="2:31" ht="15.75" customHeight="1">
      <c r="B237" s="103"/>
      <c r="C237" s="251"/>
      <c r="D237" s="495"/>
      <c r="E237" s="496"/>
      <c r="F237" s="496"/>
      <c r="G237" s="496"/>
      <c r="H237" s="496"/>
      <c r="I237" s="496"/>
      <c r="J237" s="496"/>
      <c r="K237" s="496"/>
      <c r="L237" s="496"/>
      <c r="M237" s="496"/>
      <c r="N237" s="496"/>
      <c r="O237" s="497"/>
      <c r="P237" s="1"/>
      <c r="T237" s="14"/>
      <c r="AC237" s="1"/>
      <c r="AD237" s="1"/>
      <c r="AE237" s="13"/>
    </row>
    <row r="238" spans="2:31" ht="15.75" customHeight="1">
      <c r="B238" s="103"/>
      <c r="C238" s="251"/>
      <c r="D238" s="495"/>
      <c r="E238" s="496"/>
      <c r="F238" s="496"/>
      <c r="G238" s="496"/>
      <c r="H238" s="496"/>
      <c r="I238" s="496"/>
      <c r="J238" s="496"/>
      <c r="K238" s="496"/>
      <c r="L238" s="496"/>
      <c r="M238" s="496"/>
      <c r="N238" s="496"/>
      <c r="O238" s="497"/>
      <c r="P238" s="1"/>
      <c r="T238" s="14"/>
      <c r="AC238" s="1"/>
      <c r="AD238" s="1"/>
      <c r="AE238" s="13"/>
    </row>
    <row r="239" spans="2:31" ht="15.75" customHeight="1" thickBot="1">
      <c r="B239" s="103"/>
      <c r="C239" s="251"/>
      <c r="D239" s="498"/>
      <c r="E239" s="499"/>
      <c r="F239" s="499"/>
      <c r="G239" s="499"/>
      <c r="H239" s="499"/>
      <c r="I239" s="499"/>
      <c r="J239" s="499"/>
      <c r="K239" s="499"/>
      <c r="L239" s="499"/>
      <c r="M239" s="499"/>
      <c r="N239" s="499"/>
      <c r="O239" s="500"/>
      <c r="P239" s="1"/>
      <c r="T239" s="14"/>
      <c r="AC239" s="1"/>
      <c r="AD239" s="1"/>
      <c r="AE239" s="13"/>
    </row>
    <row r="240" spans="2:31" ht="16.5" hidden="1" customHeight="1">
      <c r="B240" s="103"/>
      <c r="C240" s="251"/>
      <c r="D240" s="60"/>
      <c r="E240" s="251"/>
      <c r="F240" s="251"/>
      <c r="G240" s="251"/>
      <c r="H240" s="251"/>
      <c r="I240" s="251"/>
      <c r="J240" s="251"/>
      <c r="K240" s="251"/>
      <c r="L240" s="251"/>
      <c r="M240" s="251"/>
      <c r="N240" s="251"/>
      <c r="O240" s="251"/>
      <c r="P240" s="1"/>
      <c r="T240" s="14"/>
      <c r="U240" s="1"/>
      <c r="V240" s="1"/>
      <c r="W240" s="1"/>
      <c r="X240" s="1"/>
      <c r="Y240" s="1"/>
      <c r="Z240" s="1"/>
      <c r="AA240" s="1"/>
      <c r="AB240" s="1"/>
      <c r="AC240" s="1"/>
      <c r="AD240" s="1"/>
      <c r="AE240" s="13"/>
    </row>
    <row r="241" spans="2:31" ht="15.75" hidden="1">
      <c r="B241" s="103"/>
      <c r="C241" s="78"/>
      <c r="D241" s="78"/>
      <c r="E241" s="78"/>
      <c r="F241" s="78"/>
      <c r="G241" s="78"/>
      <c r="H241" s="78"/>
      <c r="I241" s="78"/>
      <c r="J241" s="78"/>
      <c r="K241" s="78"/>
      <c r="L241" s="78"/>
      <c r="M241" s="78"/>
      <c r="N241" s="78"/>
      <c r="O241" s="78"/>
      <c r="P241" s="1"/>
      <c r="T241" s="14"/>
      <c r="U241" s="506" t="s">
        <v>72</v>
      </c>
      <c r="V241" s="506"/>
      <c r="W241" s="506"/>
      <c r="X241" s="506"/>
      <c r="Y241" s="506"/>
      <c r="Z241" s="1"/>
      <c r="AA241" s="14"/>
      <c r="AB241" s="250" t="str">
        <f>IF('Mon Entreprise'!K8&lt;=Annexes!Q26,"Oui","Non")</f>
        <v>Oui</v>
      </c>
      <c r="AC241" s="1"/>
      <c r="AD241" s="1"/>
      <c r="AE241" s="13"/>
    </row>
    <row r="242" spans="2:31" ht="15.75" hidden="1">
      <c r="B242" s="103"/>
      <c r="C242" s="251"/>
      <c r="D242" s="60"/>
      <c r="E242" s="251"/>
      <c r="F242" s="251"/>
      <c r="G242" s="251"/>
      <c r="H242" s="251"/>
      <c r="I242" s="251"/>
      <c r="J242" s="251"/>
      <c r="K242" s="251"/>
      <c r="L242" s="251"/>
      <c r="M242" s="251"/>
      <c r="N242" s="251"/>
      <c r="O242" s="251"/>
      <c r="P242" s="1"/>
      <c r="T242" s="14"/>
      <c r="U242" s="293"/>
      <c r="V242" s="506" t="s">
        <v>393</v>
      </c>
      <c r="W242" s="506"/>
      <c r="X242" s="506"/>
      <c r="Y242" s="506"/>
      <c r="Z242" s="1"/>
      <c r="AA242" s="14"/>
      <c r="AB242" s="292">
        <f>IF('Mon Entreprise'!K8&gt;=Annexes!O20,IF(Y233&gt;=Y235,Y233,Y235),IF(Y233&gt;=Y234,Y233,Y234))</f>
        <v>0</v>
      </c>
      <c r="AC242" s="1"/>
      <c r="AD242" s="1"/>
      <c r="AE242" s="13"/>
    </row>
    <row r="243" spans="2:31" ht="15.75" hidden="1">
      <c r="B243" s="103"/>
      <c r="C243" s="251" t="s">
        <v>310</v>
      </c>
      <c r="D243" s="60"/>
      <c r="E243" s="251"/>
      <c r="F243" s="251"/>
      <c r="G243" s="251"/>
      <c r="H243" s="251"/>
      <c r="I243" s="251"/>
      <c r="J243" s="251"/>
      <c r="K243" s="251"/>
      <c r="L243" s="251"/>
      <c r="M243" s="251"/>
      <c r="N243" s="251"/>
      <c r="O243" s="251"/>
      <c r="P243" s="1"/>
      <c r="T243" s="14"/>
      <c r="U243" s="506" t="s">
        <v>84</v>
      </c>
      <c r="V243" s="506"/>
      <c r="W243" s="506"/>
      <c r="X243" s="506"/>
      <c r="Y243" s="506"/>
      <c r="Z243" s="1"/>
      <c r="AA243" s="14"/>
      <c r="AB243" s="248">
        <f>IF('Mon Entreprise'!K8&gt;=Annexes!O20,IF(AB233&gt;=AB235,AB233,AB235),IF(AB233&gt;=AB234,AB233,AB234))</f>
        <v>0</v>
      </c>
      <c r="AC243" s="1"/>
      <c r="AD243" s="1"/>
      <c r="AE243" s="13"/>
    </row>
    <row r="244" spans="2:31" ht="15.75" hidden="1">
      <c r="B244" s="168"/>
      <c r="C244" s="251"/>
      <c r="D244" s="60" t="str">
        <f>IFERROR(IF('Mon Entreprise'!K8&gt;=Annexes!O20,IF(AB233&gt;=AB235,"Le CA de référence est celui de Février 2019, soit une perte de "&amp;ROUND(AB233,0)&amp;" €"&amp;" ==&gt; "&amp;ROUND(AE233*100,0)&amp;" %","Le CA de référence est celui de la création, soit une perte de "&amp;ROUND(AB235,0)&amp;" €"&amp;" ==&gt; "&amp;ROUND(AE235*100,0)&amp;" %"),IF(AB233&gt;=AB234,"Le CA de référence est celui de Février 2019, soit une perte de "&amp;ROUND(AB233,0)&amp;" €"&amp;" ==&gt; "&amp;ROUND(AE233*100,0)&amp;" %","Le CA de référence est celui de de l'exercice 2019, soit une perte de "&amp;ROUND(AB234,0)&amp;" €"&amp;" ==&gt; "&amp;ROUND(AE234*100,0)&amp;" %")),"")</f>
        <v>Le CA de référence est celui de Février 2019, soit une perte de 0 € ==&gt; 0 %</v>
      </c>
      <c r="E244" s="251"/>
      <c r="F244" s="251"/>
      <c r="G244" s="251"/>
      <c r="H244" s="251"/>
      <c r="I244" s="251"/>
      <c r="J244" s="251"/>
      <c r="K244" s="251"/>
      <c r="L244" s="251"/>
      <c r="M244" s="251"/>
      <c r="N244" s="251"/>
      <c r="O244" s="251"/>
      <c r="P244" s="1"/>
      <c r="T244" s="14"/>
      <c r="U244" s="506" t="s">
        <v>85</v>
      </c>
      <c r="V244" s="506"/>
      <c r="W244" s="506"/>
      <c r="X244" s="506"/>
      <c r="Y244" s="506"/>
      <c r="Z244" s="1"/>
      <c r="AA244" s="14"/>
      <c r="AB244" s="19">
        <f>IF('Mon Entreprise'!K8&gt;=Annexes!O20,IF(AB233&gt;=AB235,AE233,AE235),IF(AB233&gt;=AB234,AE233,AE234))</f>
        <v>0</v>
      </c>
      <c r="AC244" s="1"/>
      <c r="AD244" s="1"/>
      <c r="AE244" s="13"/>
    </row>
    <row r="245" spans="2:31" ht="16.5" hidden="1" thickBot="1">
      <c r="B245" s="103"/>
      <c r="C245" s="251"/>
      <c r="D245" s="60"/>
      <c r="E245" s="251"/>
      <c r="F245" s="251"/>
      <c r="G245" s="251"/>
      <c r="H245" s="251"/>
      <c r="I245" s="251"/>
      <c r="J245" s="251"/>
      <c r="K245" s="251"/>
      <c r="L245" s="251"/>
      <c r="M245" s="251"/>
      <c r="N245" s="251"/>
      <c r="O245" s="251"/>
      <c r="P245" s="1"/>
      <c r="T245" s="14"/>
      <c r="U245" s="1"/>
      <c r="V245" s="1"/>
      <c r="W245" s="1"/>
      <c r="X245" s="1"/>
      <c r="Y245" s="1"/>
      <c r="Z245" s="1"/>
      <c r="AA245" s="1"/>
      <c r="AB245" s="1"/>
      <c r="AC245" s="1"/>
      <c r="AD245" s="1"/>
      <c r="AE245" s="13"/>
    </row>
    <row r="246" spans="2:31" ht="15.75" hidden="1">
      <c r="B246" s="168"/>
      <c r="C246" s="251"/>
      <c r="D246" s="508" t="str">
        <f>IFERROR(IF(AB241="Non","Vous avez débuté votre activité après le 31 Octobre 2020, vous ne pouvez donc pas bénéficier de cette aide",IF(AB244&gt;=0.5,IF(AB243&gt;Annexes!O5,"Dans votre cas, l'aide est Plafonnée, à "&amp;Annexes!O5&amp;" € pour le mois de Février","Vous pouvez bénéficier, au titre de cette aide, d'un montant de "&amp;ROUND(AB243,0)&amp;" € pour le mois de Février"),"L'entreprise n'a pas une perte d'au moins 50 % en Février 2021")),"Vous n'avez pas indiqué de chiffre d'affaires de référence")</f>
        <v>L'entreprise n'a pas une perte d'au moins 50 % en Février 2021</v>
      </c>
      <c r="E246" s="509"/>
      <c r="F246" s="509"/>
      <c r="G246" s="509"/>
      <c r="H246" s="509"/>
      <c r="I246" s="509"/>
      <c r="J246" s="509"/>
      <c r="K246" s="509"/>
      <c r="L246" s="509"/>
      <c r="M246" s="509"/>
      <c r="N246" s="509"/>
      <c r="O246" s="510"/>
      <c r="P246" s="1"/>
      <c r="T246" s="14"/>
      <c r="U246" s="1"/>
      <c r="V246" s="1"/>
      <c r="W246" s="1"/>
      <c r="X246" s="1"/>
      <c r="Y246" s="1"/>
      <c r="Z246" s="1"/>
      <c r="AA246" s="1"/>
      <c r="AB246" s="1"/>
      <c r="AC246" s="1"/>
      <c r="AD246" s="1"/>
      <c r="AE246" s="13"/>
    </row>
    <row r="247" spans="2:31" ht="15.75" hidden="1" customHeight="1">
      <c r="B247" s="168"/>
      <c r="C247" s="251"/>
      <c r="D247" s="511"/>
      <c r="E247" s="512"/>
      <c r="F247" s="512"/>
      <c r="G247" s="512"/>
      <c r="H247" s="512"/>
      <c r="I247" s="512"/>
      <c r="J247" s="512"/>
      <c r="K247" s="512"/>
      <c r="L247" s="512"/>
      <c r="M247" s="512"/>
      <c r="N247" s="512"/>
      <c r="O247" s="513"/>
      <c r="P247" s="1"/>
      <c r="T247" s="14"/>
      <c r="U247" s="1"/>
      <c r="V247" s="1"/>
      <c r="W247" s="1"/>
      <c r="X247" s="1"/>
      <c r="Y247" s="1"/>
      <c r="Z247" s="1"/>
      <c r="AA247" s="1"/>
      <c r="AB247" s="1"/>
      <c r="AC247" s="1"/>
      <c r="AD247" s="1"/>
      <c r="AE247" s="13"/>
    </row>
    <row r="248" spans="2:31" ht="15.75" hidden="1" customHeight="1">
      <c r="B248" s="103"/>
      <c r="C248" s="251"/>
      <c r="D248" s="511"/>
      <c r="E248" s="512"/>
      <c r="F248" s="512"/>
      <c r="G248" s="512"/>
      <c r="H248" s="512"/>
      <c r="I248" s="512"/>
      <c r="J248" s="512"/>
      <c r="K248" s="512"/>
      <c r="L248" s="512"/>
      <c r="M248" s="512"/>
      <c r="N248" s="512"/>
      <c r="O248" s="513"/>
      <c r="P248" s="1"/>
      <c r="T248" s="14"/>
      <c r="U248" s="1"/>
      <c r="V248" s="1"/>
      <c r="W248" s="1"/>
      <c r="X248" s="1"/>
      <c r="Y248" s="1"/>
      <c r="Z248" s="1"/>
      <c r="AA248" s="1"/>
      <c r="AB248" s="1"/>
      <c r="AC248" s="1"/>
      <c r="AD248" s="1"/>
      <c r="AE248" s="13"/>
    </row>
    <row r="249" spans="2:31" ht="15.75" hidden="1" customHeight="1" thickBot="1">
      <c r="B249" s="103"/>
      <c r="C249" s="251"/>
      <c r="D249" s="514"/>
      <c r="E249" s="515"/>
      <c r="F249" s="515"/>
      <c r="G249" s="515"/>
      <c r="H249" s="515"/>
      <c r="I249" s="515"/>
      <c r="J249" s="515"/>
      <c r="K249" s="515"/>
      <c r="L249" s="515"/>
      <c r="M249" s="515"/>
      <c r="N249" s="515"/>
      <c r="O249" s="516"/>
      <c r="P249" s="1"/>
      <c r="T249" s="14"/>
      <c r="U249" s="1"/>
      <c r="V249" s="1"/>
      <c r="W249" s="1"/>
      <c r="X249" s="1"/>
      <c r="Y249" s="1"/>
      <c r="Z249" s="1"/>
      <c r="AA249" s="1"/>
      <c r="AB249" s="1"/>
      <c r="AC249" s="1"/>
      <c r="AD249" s="1"/>
      <c r="AE249" s="13"/>
    </row>
    <row r="250" spans="2:31" ht="16.5" hidden="1" customHeight="1">
      <c r="B250" s="103"/>
      <c r="C250" s="169"/>
      <c r="D250" s="517" t="s">
        <v>395</v>
      </c>
      <c r="E250" s="517"/>
      <c r="F250" s="517"/>
      <c r="G250" s="517"/>
      <c r="H250" s="517"/>
      <c r="I250" s="517"/>
      <c r="J250" s="517"/>
      <c r="K250" s="517"/>
      <c r="L250" s="517"/>
      <c r="M250" s="517"/>
      <c r="N250" s="517"/>
      <c r="O250" s="517"/>
      <c r="P250" s="1"/>
      <c r="T250" s="518" t="s">
        <v>4</v>
      </c>
      <c r="U250" s="519"/>
      <c r="V250" s="519"/>
      <c r="W250" s="519"/>
      <c r="X250" s="519"/>
      <c r="Y250" s="519"/>
      <c r="Z250" s="139"/>
      <c r="AA250" s="145"/>
      <c r="AB250" s="194">
        <f>IFERROR(IF('Mon Entreprise'!K8&gt;=Annexes!Q18,0,1-'Mon Entreprise'!M118/2/AB242),0)</f>
        <v>0</v>
      </c>
      <c r="AC250" s="1"/>
      <c r="AD250" s="1"/>
      <c r="AE250" s="13"/>
    </row>
    <row r="251" spans="2:31" ht="16.5" hidden="1" customHeight="1">
      <c r="B251" s="103"/>
      <c r="C251" s="251"/>
      <c r="D251" s="249"/>
      <c r="E251" s="249"/>
      <c r="F251" s="249"/>
      <c r="G251" s="249"/>
      <c r="H251" s="249"/>
      <c r="I251" s="249"/>
      <c r="J251" s="249"/>
      <c r="K251" s="249"/>
      <c r="L251" s="249"/>
      <c r="M251" s="249"/>
      <c r="N251" s="249"/>
      <c r="O251" s="249"/>
      <c r="P251" s="1"/>
      <c r="T251" s="110"/>
      <c r="U251" s="520" t="s">
        <v>102</v>
      </c>
      <c r="V251" s="520"/>
      <c r="W251" s="520"/>
      <c r="X251" s="520"/>
      <c r="Y251" s="520"/>
      <c r="Z251" s="139"/>
      <c r="AA251" s="145"/>
      <c r="AB251" s="194">
        <f>IFERROR(IF('Mon Entreprise'!K8&gt;Annexes!Q26,0,1-'Mon Entreprise'!M114/AB242),0)</f>
        <v>0</v>
      </c>
      <c r="AC251" s="1"/>
      <c r="AD251" s="1"/>
      <c r="AE251" s="13"/>
    </row>
    <row r="252" spans="2:31" ht="16.5" hidden="1" customHeight="1">
      <c r="B252" s="103"/>
      <c r="C252" s="505" t="s">
        <v>421</v>
      </c>
      <c r="D252" s="505"/>
      <c r="E252" s="505"/>
      <c r="F252" s="505"/>
      <c r="G252" s="505"/>
      <c r="H252" s="505"/>
      <c r="I252" s="505"/>
      <c r="J252" s="505"/>
      <c r="K252" s="505"/>
      <c r="L252" s="505"/>
      <c r="M252" s="505"/>
      <c r="N252" s="505"/>
      <c r="O252" s="505"/>
      <c r="P252" s="1"/>
      <c r="T252" s="110"/>
      <c r="U252" s="520" t="s">
        <v>109</v>
      </c>
      <c r="V252" s="520"/>
      <c r="W252" s="520"/>
      <c r="X252" s="520"/>
      <c r="Y252" s="520"/>
      <c r="Z252" s="139"/>
      <c r="AA252" s="145"/>
      <c r="AB252" s="194">
        <f>IFERROR(IF(Annexes!O27&gt;'Mon Entreprise'!K8,1-'Mon Entreprise'!M98/'Mon Entreprise'!I98,0),0)</f>
        <v>0</v>
      </c>
      <c r="AC252" s="1"/>
      <c r="AD252" s="1"/>
      <c r="AE252" s="13"/>
    </row>
    <row r="253" spans="2:31" ht="16.5" hidden="1" customHeight="1">
      <c r="B253" s="103"/>
      <c r="C253" s="505"/>
      <c r="D253" s="505"/>
      <c r="E253" s="505"/>
      <c r="F253" s="505"/>
      <c r="G253" s="505"/>
      <c r="H253" s="505"/>
      <c r="I253" s="505"/>
      <c r="J253" s="505"/>
      <c r="K253" s="505"/>
      <c r="L253" s="505"/>
      <c r="M253" s="505"/>
      <c r="N253" s="505"/>
      <c r="O253" s="505"/>
      <c r="P253" s="1"/>
      <c r="T253" s="110"/>
      <c r="U253" s="267"/>
      <c r="V253" s="267"/>
      <c r="W253" s="267"/>
      <c r="X253" s="267"/>
      <c r="Y253" s="267"/>
      <c r="Z253" s="139"/>
      <c r="AA253" s="145"/>
      <c r="AB253" s="194"/>
      <c r="AC253" s="1"/>
      <c r="AD253" s="1"/>
      <c r="AE253" s="13"/>
    </row>
    <row r="254" spans="2:31" ht="16.5" hidden="1" customHeight="1">
      <c r="B254" s="103"/>
      <c r="C254" s="505"/>
      <c r="D254" s="505"/>
      <c r="E254" s="505"/>
      <c r="F254" s="505"/>
      <c r="G254" s="505"/>
      <c r="H254" s="505"/>
      <c r="I254" s="505"/>
      <c r="J254" s="505"/>
      <c r="K254" s="505"/>
      <c r="L254" s="505"/>
      <c r="M254" s="505"/>
      <c r="N254" s="505"/>
      <c r="O254" s="505"/>
      <c r="P254" s="1"/>
      <c r="T254" s="14"/>
      <c r="U254" s="521" t="s">
        <v>8</v>
      </c>
      <c r="V254" s="521"/>
      <c r="W254" s="521"/>
      <c r="X254" s="521"/>
      <c r="Y254" s="521"/>
      <c r="Z254" s="1"/>
      <c r="AA254" s="14"/>
      <c r="AB254" s="248" t="str">
        <f>IF((AND(Annexes!F5&gt;1,Annexes!F5&lt;=Annexes!H6)),"OUI","NON")</f>
        <v>NON</v>
      </c>
      <c r="AC254" s="1"/>
      <c r="AD254" s="1"/>
      <c r="AE254" s="13"/>
    </row>
    <row r="255" spans="2:31" ht="16.5" hidden="1" customHeight="1">
      <c r="B255" s="103"/>
      <c r="C255" s="505"/>
      <c r="D255" s="505"/>
      <c r="E255" s="505"/>
      <c r="F255" s="505"/>
      <c r="G255" s="505"/>
      <c r="H255" s="505"/>
      <c r="I255" s="505"/>
      <c r="J255" s="505"/>
      <c r="K255" s="505"/>
      <c r="L255" s="505"/>
      <c r="M255" s="505"/>
      <c r="N255" s="505"/>
      <c r="O255" s="505"/>
      <c r="P255" s="1"/>
      <c r="T255" s="14"/>
      <c r="U255" s="252"/>
      <c r="V255" s="252"/>
      <c r="W255" s="252"/>
      <c r="X255" s="252"/>
      <c r="Y255" s="252" t="s">
        <v>9</v>
      </c>
      <c r="Z255" s="1"/>
      <c r="AA255" s="14"/>
      <c r="AB255" s="248" t="str">
        <f>IF(AND(Annexes!F7&gt;1,Annexes!F7&lt;=Annexes!H8),"OUI","NON")</f>
        <v>NON</v>
      </c>
      <c r="AC255" s="1"/>
      <c r="AD255" s="1"/>
      <c r="AE255" s="13"/>
    </row>
    <row r="256" spans="2:31" ht="16.5" hidden="1" customHeight="1">
      <c r="B256" s="103"/>
      <c r="C256" s="251"/>
      <c r="D256" s="249"/>
      <c r="E256" s="417" t="str">
        <f>IF('Mon Entreprise'!K8&gt;Annexes!Q24,"",IF(OR(AB254="OUI",AND(OR(AB256="OUI",AB257="OUI",AB255="OUI"),OR(AB250&gt;=Annexes!P5,AB251&gt;=Annexes!P5,'Mes Aides'!AB145&gt;=0.1)),AB258=TRUE),"",IF(AND(OR(AB256="OUI",AB257="OUI",AB255="OUI"),OR(AB250&lt;Annexes!P5,AB251&lt;Annexes!P5,'Mes Aides'!AB198&lt;0.1)),"L'entreprise fait partie des entreprises mentionnées en annexe 2 ou 3 du décret mais n'a pas eu une perte de CA d'au-Moins 80 %, entre le 15/03/2020 et le 15/05/2020, Novembre 2020 ou 10 % entre 2019 et 2020","L'entreprise ne fait pas partie des entreprises ayant une fermeture administrative avec 20 % de perte et ne fait pas partie des activités mentionnées aux annexes 1, 2 et 3 ou dans un centre commercial du décret ayant une perte significative")))</f>
        <v>L'entreprise ne fait pas partie des entreprises ayant une fermeture administrative avec 20 % de perte et ne fait pas partie des activités mentionnées aux annexes 1, 2 et 3 ou dans un centre commercial du décret ayant une perte significative</v>
      </c>
      <c r="F256" s="417"/>
      <c r="G256" s="417"/>
      <c r="H256" s="417"/>
      <c r="I256" s="417"/>
      <c r="J256" s="417"/>
      <c r="K256" s="417"/>
      <c r="L256" s="417"/>
      <c r="M256" s="417"/>
      <c r="N256" s="417"/>
      <c r="O256" s="417"/>
      <c r="P256" s="1"/>
      <c r="T256" s="491" t="s">
        <v>415</v>
      </c>
      <c r="U256" s="490"/>
      <c r="V256" s="490"/>
      <c r="W256" s="490"/>
      <c r="X256" s="490"/>
      <c r="Y256" s="490"/>
      <c r="Z256" s="1"/>
      <c r="AA256" s="14"/>
      <c r="AB256" s="248" t="str">
        <f>IF(OR(Annexes!M17=TRUE,Annexes!M23=TRUE),"OUI","NON")</f>
        <v>NON</v>
      </c>
      <c r="AC256" s="1"/>
      <c r="AD256" s="1"/>
      <c r="AE256" s="13"/>
    </row>
    <row r="257" spans="1:31" ht="16.5" hidden="1" customHeight="1">
      <c r="B257" s="103"/>
      <c r="C257" s="264"/>
      <c r="D257" s="263"/>
      <c r="E257" s="417"/>
      <c r="F257" s="417"/>
      <c r="G257" s="417"/>
      <c r="H257" s="417"/>
      <c r="I257" s="417"/>
      <c r="J257" s="417"/>
      <c r="K257" s="417"/>
      <c r="L257" s="417"/>
      <c r="M257" s="417"/>
      <c r="N257" s="417"/>
      <c r="O257" s="417"/>
      <c r="P257" s="1"/>
      <c r="T257" s="290"/>
      <c r="U257" s="490" t="s">
        <v>305</v>
      </c>
      <c r="V257" s="490"/>
      <c r="W257" s="490"/>
      <c r="X257" s="490"/>
      <c r="Y257" s="490"/>
      <c r="Z257" s="1"/>
      <c r="AA257" s="14"/>
      <c r="AB257" s="291" t="str">
        <f>IF(OR(Annexes!M17=TRUE,Annexes!M23=TRUE),"OUI","NON")</f>
        <v>NON</v>
      </c>
      <c r="AC257" s="1"/>
      <c r="AD257" s="1"/>
      <c r="AE257" s="13"/>
    </row>
    <row r="258" spans="1:31" ht="16.5" hidden="1" customHeight="1">
      <c r="B258" s="168"/>
      <c r="C258" s="251"/>
      <c r="D258" s="249"/>
      <c r="E258" s="417"/>
      <c r="F258" s="417"/>
      <c r="G258" s="417"/>
      <c r="H258" s="417"/>
      <c r="I258" s="417"/>
      <c r="J258" s="417"/>
      <c r="K258" s="417"/>
      <c r="L258" s="417"/>
      <c r="M258" s="417"/>
      <c r="N258" s="417"/>
      <c r="O258" s="417"/>
      <c r="P258" s="1"/>
      <c r="T258" s="14"/>
      <c r="U258" s="490" t="s">
        <v>313</v>
      </c>
      <c r="V258" s="490"/>
      <c r="W258" s="490"/>
      <c r="X258" s="490"/>
      <c r="Y258" s="490"/>
      <c r="Z258" s="1"/>
      <c r="AA258" s="14"/>
      <c r="AB258" s="248" t="b">
        <f>IF(Annexes!M21=TRUE,TRUE,FALSE)</f>
        <v>0</v>
      </c>
      <c r="AC258" s="1"/>
      <c r="AD258" s="1"/>
      <c r="AE258" s="13"/>
    </row>
    <row r="259" spans="1:31" ht="16.5" hidden="1" customHeight="1">
      <c r="A259" s="99"/>
      <c r="B259" s="103"/>
      <c r="C259" s="251"/>
      <c r="D259" s="523" t="str">
        <f>IFERROR(IF('Mon Entreprise'!K8&gt;=Annexes!O20,IF(AB233&gt;=AB235,"- Le CA de référence est celui de Février 2019, soit une perte de "&amp;ROUND(AB233,0)&amp;" €"&amp;" ==&gt; "&amp;ROUND(AE233*100,0)&amp;" %","- Le CA de référence est celui de la création, soit une perte de "&amp;ROUND(AB235,0)&amp;" €"&amp;" ==&gt; "&amp;ROUND(AE235*100,0)&amp;" %"),IF(AB233&gt;=AB234,"- Le CA de référence est celui de Février 2019, soit une perte de "&amp;ROUND(AB233,0)&amp;" €"&amp;" ==&gt; "&amp;ROUND(AE233*100,0)&amp;" %","- Le CA de référence est celui de l'exercice 2019, soit une perte de "&amp;ROUND(AB234,0)&amp;" €"&amp;" ==&gt; "&amp;ROUND(AE234*100,0)&amp;" %")),"")</f>
        <v>- Le CA de référence est celui de Février 2019, soit une perte de 0 € ==&gt; 0 %</v>
      </c>
      <c r="E259" s="523"/>
      <c r="F259" s="523"/>
      <c r="G259" s="523"/>
      <c r="H259" s="523"/>
      <c r="I259" s="523"/>
      <c r="J259" s="523"/>
      <c r="K259" s="523"/>
      <c r="L259" s="523"/>
      <c r="M259" s="523"/>
      <c r="N259" s="523"/>
      <c r="O259" s="523"/>
      <c r="P259" s="1"/>
      <c r="T259" s="14"/>
      <c r="U259" s="525" t="s">
        <v>72</v>
      </c>
      <c r="V259" s="525"/>
      <c r="W259" s="525"/>
      <c r="X259" s="525"/>
      <c r="Y259" s="525"/>
      <c r="Z259" s="139"/>
      <c r="AA259" s="145"/>
      <c r="AB259" s="250" t="str">
        <f>IF('Mon Entreprise'!K8&lt;=Annexes!Q26,"Oui","Non")</f>
        <v>Oui</v>
      </c>
      <c r="AC259" s="139"/>
      <c r="AD259" s="1"/>
      <c r="AE259" s="13"/>
    </row>
    <row r="260" spans="1:31" ht="16.5" hidden="1" customHeight="1">
      <c r="B260" s="103"/>
      <c r="C260" s="251"/>
      <c r="D260" s="215" t="str">
        <f>IF(OR(AB254="OUI",AB258=TRUE),"- Sans ticket modérateur",IF(AND(OR(AB256="OUI",AB255="OUI"),OR(AB250&gt;=0.8,AB251&gt;=0.8,AB252&gt;=0.1)),"- La Perte de référence est plafonnée à 80 %, soit "&amp;ROUND(AB264,0)&amp;" €","- Sans ticket modérateur"))</f>
        <v>- Sans ticket modérateur</v>
      </c>
      <c r="E260" s="247"/>
      <c r="F260" s="247"/>
      <c r="G260" s="247"/>
      <c r="H260" s="247"/>
      <c r="I260" s="247"/>
      <c r="J260" s="247"/>
      <c r="K260" s="247"/>
      <c r="L260" s="247"/>
      <c r="M260" s="247"/>
      <c r="N260" s="247"/>
      <c r="O260" s="247"/>
      <c r="P260" s="1"/>
      <c r="T260" s="14"/>
      <c r="U260" s="525" t="s">
        <v>84</v>
      </c>
      <c r="V260" s="525"/>
      <c r="W260" s="525"/>
      <c r="X260" s="525"/>
      <c r="Y260" s="525"/>
      <c r="Z260" s="139"/>
      <c r="AA260" s="145"/>
      <c r="AB260" s="250">
        <f>IF('Mon Entreprise'!K8&gt;=Annexes!O20,IF(AB233&gt;=AB235,AB233,AB235),IF(AB233&gt;=AB234,AB233,AB234))</f>
        <v>0</v>
      </c>
      <c r="AC260" s="139"/>
      <c r="AD260" s="1"/>
      <c r="AE260" s="13"/>
    </row>
    <row r="261" spans="1:31" ht="16.5" hidden="1" customHeight="1" thickBot="1">
      <c r="B261" s="103"/>
      <c r="C261" s="251"/>
      <c r="D261" s="247"/>
      <c r="E261" s="247"/>
      <c r="F261" s="247"/>
      <c r="G261" s="247"/>
      <c r="H261" s="247"/>
      <c r="I261" s="247"/>
      <c r="J261" s="247"/>
      <c r="K261" s="247"/>
      <c r="L261" s="247"/>
      <c r="M261" s="247"/>
      <c r="N261" s="247"/>
      <c r="O261" s="247"/>
      <c r="P261" s="1"/>
      <c r="T261" s="14"/>
      <c r="U261" s="525" t="s">
        <v>85</v>
      </c>
      <c r="V261" s="525"/>
      <c r="W261" s="525"/>
      <c r="X261" s="525"/>
      <c r="Y261" s="525"/>
      <c r="Z261" s="139"/>
      <c r="AA261" s="145"/>
      <c r="AB261" s="250">
        <f>IF('Mon Entreprise'!K8&gt;=Annexes!O20,IF(AB233&gt;=AB235,AE233,AE235),IF(AB233&gt;=AB234,AE233,AE234))</f>
        <v>0</v>
      </c>
      <c r="AC261" s="139"/>
      <c r="AD261" s="1"/>
      <c r="AE261" s="13"/>
    </row>
    <row r="262" spans="1:31" ht="16.5" hidden="1" customHeight="1">
      <c r="B262" s="103"/>
      <c r="C262" s="251"/>
      <c r="D262" s="508" t="str">
        <f>IFERROR(IF('Mon Entreprise'!K8&gt;Annexes!Q26,"Vous avez débuté votre activité après le 31 Octobre 2020, vous ne pouvez donc pas bénéficier de cette aide",IF(AB258=TRUE,IF(AB264&gt;Annexes!O6,"Dans votre cas, l'aide est Plafonnée, à "&amp;Annexes!O6&amp;" € pour le mois de Février","Vous pouvez bénéficier, au titre de cette aide, d'un montant de "&amp;ROUND(AB264,0)&amp;" € pour le mois de Février"),IF(AB261&gt;=0.5,IF(OR(AB254="OUI",AND(OR(AB256="OUI",AB255="OUI"),OR(AB250&gt;=Annexes!P5,AB251&gt;=Annexes!P5,AB252&gt;=0.1))),IF(AB264&gt;Annexes!O6,"Dans votre cas, l'aide est Plafonnée, à "&amp;Annexes!O6&amp;" € pour le mois de Février","Vous pouvez bénéficier, au titre de cette aide, d'un montant de "&amp;ROUND(AB264,0)&amp;" € pour le mois de Février"),IF(AND(OR(AB256="OUI",AB255="OUI"),OR(AB250&lt;Annexes!P5,AB251&lt;Annexes!P5)),"L'entreprise fait partie des entreprises mentionnées en annexe 2 ou 3 ou dans un centre commercial du décret, mais n'a pas eu une perte de CA d'au-Moins 80 % entre le 15/03/2020 et le 15/05/2020 "&amp;"ou au mois de Novembre 2020 ou 10 % de perte entre 2019 et 2020","L'entreprise ne fait pas partie des entreprises"&amp;" ayant une fermeture administrative avec une perte de 20 % de CA et ne fait pas partie des activités mentionnées aux annexes 1, 2 et 3 ou dans un centre commercial du décret")),"L'entreprise n'a pas une perte d'au moins 50 % en Février 2021"))),"Vous n'avez pas indiqué de chiffre d'affaires de référence")</f>
        <v>L'entreprise n'a pas une perte d'au moins 50 % en Février 2021</v>
      </c>
      <c r="E262" s="509"/>
      <c r="F262" s="509"/>
      <c r="G262" s="509"/>
      <c r="H262" s="509"/>
      <c r="I262" s="509"/>
      <c r="J262" s="509"/>
      <c r="K262" s="509"/>
      <c r="L262" s="509"/>
      <c r="M262" s="509"/>
      <c r="N262" s="509"/>
      <c r="O262" s="510"/>
      <c r="P262" s="1"/>
      <c r="T262" s="14"/>
      <c r="U262" s="502" t="s">
        <v>74</v>
      </c>
      <c r="V262" s="502"/>
      <c r="W262" s="502"/>
      <c r="X262" s="502"/>
      <c r="Y262" s="502"/>
      <c r="Z262" s="139"/>
      <c r="AA262" s="145"/>
      <c r="AB262" s="250">
        <f>IF(OR(AB254="OUI",AB258=TRUE),1,IF(AND(OR(AB256="OUI",AB255="OUI"),OR(AB250&gt;=0.8,AB251&gt;=0.8,AB252&gt;=0.1)),0.8,1))</f>
        <v>1</v>
      </c>
      <c r="AC262" s="139"/>
      <c r="AD262" s="1"/>
      <c r="AE262" s="13"/>
    </row>
    <row r="263" spans="1:31" ht="16.5" hidden="1" customHeight="1">
      <c r="B263" s="173"/>
      <c r="C263" s="251"/>
      <c r="D263" s="511"/>
      <c r="E263" s="512"/>
      <c r="F263" s="512"/>
      <c r="G263" s="512"/>
      <c r="H263" s="512"/>
      <c r="I263" s="512"/>
      <c r="J263" s="512"/>
      <c r="K263" s="512"/>
      <c r="L263" s="512"/>
      <c r="M263" s="512"/>
      <c r="N263" s="512"/>
      <c r="O263" s="513"/>
      <c r="P263" s="1"/>
      <c r="T263" s="14"/>
      <c r="U263" s="502" t="s">
        <v>80</v>
      </c>
      <c r="V263" s="502"/>
      <c r="W263" s="502"/>
      <c r="X263" s="502"/>
      <c r="Y263" s="502"/>
      <c r="Z263" s="139"/>
      <c r="AA263" s="145"/>
      <c r="AB263" s="250">
        <f>IF('Mon Entreprise'!K8&gt;=Annexes!O20,IF(AB233&gt;=AB235,Y233,Y235),IF(AB233&gt;=AB234,Y233,Y234))</f>
        <v>0</v>
      </c>
      <c r="AC263" s="139"/>
      <c r="AD263" s="1"/>
      <c r="AE263" s="13"/>
    </row>
    <row r="264" spans="1:31" ht="16.5" hidden="1" customHeight="1">
      <c r="B264" s="103"/>
      <c r="C264" s="251"/>
      <c r="D264" s="511"/>
      <c r="E264" s="512"/>
      <c r="F264" s="512"/>
      <c r="G264" s="512"/>
      <c r="H264" s="512"/>
      <c r="I264" s="512"/>
      <c r="J264" s="512"/>
      <c r="K264" s="512"/>
      <c r="L264" s="512"/>
      <c r="M264" s="512"/>
      <c r="N264" s="512"/>
      <c r="O264" s="513"/>
      <c r="P264" s="1"/>
      <c r="T264" s="14"/>
      <c r="U264" s="490" t="s">
        <v>104</v>
      </c>
      <c r="V264" s="490"/>
      <c r="W264" s="490"/>
      <c r="X264" s="490"/>
      <c r="Y264" s="490"/>
      <c r="Z264" s="1"/>
      <c r="AA264" s="14"/>
      <c r="AB264" s="248">
        <f>IF(AB262=1,AB260,IF(AB260*AB262&gt;1500,IF(AB260&gt;1500,AB260*AB262,"Impossible"),IF(AB260&lt;1500,AB260,1500)))</f>
        <v>0</v>
      </c>
      <c r="AC264" s="1"/>
      <c r="AD264" s="1"/>
      <c r="AE264" s="13"/>
    </row>
    <row r="265" spans="1:31" ht="16.5" hidden="1" customHeight="1" thickBot="1">
      <c r="B265" s="103"/>
      <c r="C265" s="251"/>
      <c r="D265" s="514"/>
      <c r="E265" s="515"/>
      <c r="F265" s="515"/>
      <c r="G265" s="515"/>
      <c r="H265" s="515"/>
      <c r="I265" s="515"/>
      <c r="J265" s="515"/>
      <c r="K265" s="515"/>
      <c r="L265" s="515"/>
      <c r="M265" s="515"/>
      <c r="N265" s="515"/>
      <c r="O265" s="516"/>
      <c r="P265" s="1"/>
      <c r="T265" s="14"/>
      <c r="U265" s="248"/>
      <c r="V265" s="248"/>
      <c r="W265" s="248"/>
      <c r="X265" s="248"/>
      <c r="Y265" s="248"/>
      <c r="Z265" s="1"/>
      <c r="AA265" s="1"/>
      <c r="AB265" s="1"/>
      <c r="AC265" s="1"/>
      <c r="AD265" s="1"/>
      <c r="AE265" s="13"/>
    </row>
    <row r="266" spans="1:31" ht="16.5" hidden="1" customHeight="1">
      <c r="B266" s="103"/>
      <c r="C266" s="169"/>
      <c r="D266" s="174"/>
      <c r="E266" s="174"/>
      <c r="F266" s="174"/>
      <c r="G266" s="174"/>
      <c r="H266" s="174"/>
      <c r="I266" s="174"/>
      <c r="J266" s="174"/>
      <c r="K266" s="174"/>
      <c r="L266" s="174"/>
      <c r="M266" s="174"/>
      <c r="N266" s="174"/>
      <c r="O266" s="174"/>
      <c r="P266" s="1"/>
      <c r="T266" s="14"/>
      <c r="U266" s="490"/>
      <c r="V266" s="490"/>
      <c r="W266" s="490"/>
      <c r="X266" s="490"/>
      <c r="Y266" s="490"/>
      <c r="Z266" s="1"/>
      <c r="AA266" s="1"/>
      <c r="AB266" s="1"/>
      <c r="AC266" s="1"/>
      <c r="AD266" s="1"/>
      <c r="AE266" s="13"/>
    </row>
    <row r="267" spans="1:31" ht="16.5" hidden="1" customHeight="1">
      <c r="B267" s="103"/>
      <c r="C267" s="251"/>
      <c r="D267" s="247"/>
      <c r="E267" s="247"/>
      <c r="F267" s="247"/>
      <c r="G267" s="247"/>
      <c r="H267" s="247"/>
      <c r="I267" s="247"/>
      <c r="J267" s="247"/>
      <c r="K267" s="247"/>
      <c r="L267" s="247"/>
      <c r="M267" s="247"/>
      <c r="N267" s="247"/>
      <c r="O267" s="247"/>
      <c r="P267" s="1"/>
      <c r="T267" s="14"/>
      <c r="U267" s="248"/>
      <c r="V267" s="248"/>
      <c r="W267" s="248"/>
      <c r="X267" s="248"/>
      <c r="Y267" s="248"/>
      <c r="Z267" s="1"/>
      <c r="AA267" s="1"/>
      <c r="AB267" s="1"/>
      <c r="AC267" s="1"/>
      <c r="AD267" s="1"/>
      <c r="AE267" s="13"/>
    </row>
    <row r="268" spans="1:31" ht="16.5" hidden="1" customHeight="1">
      <c r="B268" s="103"/>
      <c r="C268" s="529" t="s">
        <v>420</v>
      </c>
      <c r="D268" s="529"/>
      <c r="E268" s="529"/>
      <c r="F268" s="529"/>
      <c r="G268" s="529"/>
      <c r="H268" s="529"/>
      <c r="I268" s="529"/>
      <c r="J268" s="529"/>
      <c r="K268" s="529"/>
      <c r="L268" s="529"/>
      <c r="M268" s="529"/>
      <c r="N268" s="529"/>
      <c r="O268" s="529"/>
      <c r="P268" s="1"/>
      <c r="T268" s="14"/>
      <c r="U268" s="1"/>
      <c r="V268" s="1"/>
      <c r="W268" s="1"/>
      <c r="X268" s="1"/>
      <c r="Y268" s="1"/>
      <c r="Z268" s="1"/>
      <c r="AA268" s="1"/>
      <c r="AB268" s="1"/>
      <c r="AC268" s="1"/>
      <c r="AD268" s="1"/>
      <c r="AE268" s="13"/>
    </row>
    <row r="269" spans="1:31" ht="16.5" hidden="1" customHeight="1">
      <c r="B269" s="103"/>
      <c r="C269" s="529"/>
      <c r="D269" s="529"/>
      <c r="E269" s="529"/>
      <c r="F269" s="529"/>
      <c r="G269" s="529"/>
      <c r="H269" s="529"/>
      <c r="I269" s="529"/>
      <c r="J269" s="529"/>
      <c r="K269" s="529"/>
      <c r="L269" s="529"/>
      <c r="M269" s="529"/>
      <c r="N269" s="529"/>
      <c r="O269" s="529"/>
      <c r="P269" s="1"/>
      <c r="T269" s="14"/>
      <c r="U269" s="1"/>
      <c r="V269" s="1"/>
      <c r="W269" s="1"/>
      <c r="X269" s="1"/>
      <c r="Y269" s="1"/>
      <c r="Z269" s="1"/>
      <c r="AA269" s="1"/>
      <c r="AB269" s="1"/>
      <c r="AC269" s="1"/>
      <c r="AD269" s="1"/>
      <c r="AE269" s="13"/>
    </row>
    <row r="270" spans="1:31" ht="16.5" hidden="1" customHeight="1">
      <c r="B270" s="103"/>
      <c r="C270" s="529"/>
      <c r="D270" s="529"/>
      <c r="E270" s="529"/>
      <c r="F270" s="529"/>
      <c r="G270" s="529"/>
      <c r="H270" s="529"/>
      <c r="I270" s="529"/>
      <c r="J270" s="529"/>
      <c r="K270" s="529"/>
      <c r="L270" s="529"/>
      <c r="M270" s="529"/>
      <c r="N270" s="529"/>
      <c r="O270" s="529"/>
      <c r="P270" s="1"/>
      <c r="T270" s="14"/>
      <c r="U270" s="1"/>
      <c r="V270" s="1"/>
      <c r="W270" s="1"/>
      <c r="X270" s="1"/>
      <c r="Y270" s="1"/>
      <c r="Z270" s="1"/>
      <c r="AA270" s="1"/>
      <c r="AB270" s="1"/>
      <c r="AC270" s="1"/>
      <c r="AD270" s="1"/>
      <c r="AE270" s="13"/>
    </row>
    <row r="271" spans="1:31" ht="16.5" hidden="1" customHeight="1">
      <c r="B271" s="173"/>
      <c r="C271" s="529"/>
      <c r="D271" s="529"/>
      <c r="E271" s="529"/>
      <c r="F271" s="529"/>
      <c r="G271" s="529"/>
      <c r="H271" s="529"/>
      <c r="I271" s="529"/>
      <c r="J271" s="529"/>
      <c r="K271" s="529"/>
      <c r="L271" s="529"/>
      <c r="M271" s="529"/>
      <c r="N271" s="529"/>
      <c r="O271" s="529"/>
      <c r="P271" s="1"/>
      <c r="T271" s="14"/>
      <c r="U271" s="502" t="s">
        <v>82</v>
      </c>
      <c r="V271" s="502"/>
      <c r="W271" s="502"/>
      <c r="X271" s="502"/>
      <c r="Y271" s="502"/>
      <c r="Z271" s="68"/>
      <c r="AA271" s="1"/>
      <c r="AB271" s="1">
        <f>IFERROR(IF(AB241="Non",0,IF(AB244&gt;=0.5,IF(AB243&gt;Annexes!O5,Annexes!O5,ROUND(AB243,0)),0)),0)</f>
        <v>0</v>
      </c>
      <c r="AC271" s="1"/>
      <c r="AD271" s="1"/>
      <c r="AE271" s="13"/>
    </row>
    <row r="272" spans="1:31" ht="16.5" hidden="1" customHeight="1">
      <c r="B272" s="173"/>
      <c r="C272" s="251"/>
      <c r="D272" s="249"/>
      <c r="E272" s="523" t="str">
        <f>IF('Mon Entreprise'!K8&gt;Annexes!Q24,"",IF(OR(AB254="OUI",AND(OR(AB256="OUI",AB255="OUI"),OR(AB250&gt;=Annexes!P5,AB251&gt;=Annexes!P5,'Mes Aides'!AB145&gt;=0.1)),AB258=TRUE),"",IF(AND(OR(AB256="OUI",AB255="OUI"),OR(AB250&lt;Annexes!P5,AB251&lt;Annexes!P5,'Mes Aides'!AB145&lt;0.1)),"L'entreprise fait partie des entreprises mentionnées en annexe 2 ou 3 ou dans un centre commercial du décret mais n'a pas eu une perte de CA d'au-Moins 80 %, entre le 15/03/2020 et le 15/05/2020, Novembre 2020 ou 10 % entre 2019 et 2020","L'entreprise ne fait pas partie des entreprises ayant une fermeture administrative avec une perte de 20 % de CA et ne fait pas partie des activités mentionnées aux annexes 1, 2 et 3 ou dans un centre commercial du décret")))</f>
        <v>L'entreprise ne fait pas partie des entreprises ayant une fermeture administrative avec une perte de 20 % de CA et ne fait pas partie des activités mentionnées aux annexes 1, 2 et 3 ou dans un centre commercial du décret</v>
      </c>
      <c r="F272" s="523"/>
      <c r="G272" s="523"/>
      <c r="H272" s="523"/>
      <c r="I272" s="523"/>
      <c r="J272" s="523"/>
      <c r="K272" s="523"/>
      <c r="L272" s="523"/>
      <c r="M272" s="523"/>
      <c r="N272" s="523"/>
      <c r="O272" s="523"/>
      <c r="P272" s="1"/>
      <c r="T272" s="14"/>
      <c r="U272" s="502" t="s">
        <v>81</v>
      </c>
      <c r="V272" s="502"/>
      <c r="W272" s="502"/>
      <c r="X272" s="502"/>
      <c r="Y272" s="502"/>
      <c r="Z272" s="68"/>
      <c r="AA272" s="1"/>
      <c r="AB272" s="1">
        <f>IFERROR(IF('Mon Entreprise'!K8&gt;Annexes!Q26,0,IF(AB258=TRUE,IF(AB264&gt;Annexes!O6,Annexes!O6,ROUND(AB264,0)),IF(AB261&gt;=0.5,IF(OR(AB254="OUI",AND(OR(AB256="OUI",AB255="OUI"),OR(AB250&gt;=Annexes!P5,AB251&gt;=Annexes!P5,AB252&gt;=0.1))),IF(AB264&gt;Annexes!O6,Annexes!O6,ROUND(AB264,0)),IF(AND(OR(AB256="OUI",AB255="OUI"),OR(AB250&lt;Annexes!P5,AB251&lt;Annexes!P5)),0,0)),0))),0)</f>
        <v>0</v>
      </c>
      <c r="AC272" s="1"/>
      <c r="AD272" s="1"/>
      <c r="AE272" s="13"/>
    </row>
    <row r="273" spans="2:31" ht="15" hidden="1" customHeight="1">
      <c r="B273" s="173"/>
      <c r="C273" s="266"/>
      <c r="D273" s="265"/>
      <c r="E273" s="523"/>
      <c r="F273" s="523"/>
      <c r="G273" s="523"/>
      <c r="H273" s="523"/>
      <c r="I273" s="523"/>
      <c r="J273" s="523"/>
      <c r="K273" s="523"/>
      <c r="L273" s="523"/>
      <c r="M273" s="523"/>
      <c r="N273" s="523"/>
      <c r="O273" s="523"/>
      <c r="P273" s="1"/>
      <c r="T273" s="14"/>
      <c r="U273" s="502" t="s">
        <v>399</v>
      </c>
      <c r="V273" s="502"/>
      <c r="W273" s="502"/>
      <c r="X273" s="502"/>
      <c r="Y273" s="502"/>
      <c r="Z273" s="68"/>
      <c r="AA273" s="1"/>
      <c r="AB273" s="1">
        <f>IFERROR(IF('Mon Entreprise'!K8&gt;Annexes!Q26,0,IF(AB258=TRUE,IF(AB263=0,0,IF(AB260&lt;AB263*0.2,ROUND(AB260,0),IF(AB263*0.2&gt;=200000,Annexes!O8,ROUND(AB263*0.2,0)))),IF(OR(AB254="OUI",AND(AB255="OUI",OR(AB250&gt;=0.8,AB251&gt;=0.8,AB252&gt;=0.1))),IF(AB261&gt;=0.7,IF(AB260&lt;AB263*0.2,ROUND(AB260,0),IF(AB263*0.2&gt;=200000,Annexes!O8,ROUND(AB263*0.2,0))),IF(AB261&gt;=0.5,IF(AB260&lt;AB263*0.15,ROUND(AB260,0),IF(AB263*0.15&gt;=200000,Annexes!O8,ROUND(AB263*0.15,0))),IF(AND(AB256="OUI",OR(AB250&gt;=0.8,AB251&gt;=0.8,AB252&gt;=0.1),AB261&gt;=0.7),IF(AB260&lt;AB263*0.2,ROUND(AB260,0),IF(AB263*0.2&gt;=200000,Annexes!O8,ROUND(AB263*0.2,0))),0))),IF(AND(AB256="OUI",OR(AB250&gt;=0.8,AB251&gt;=0.8,AB252&gt;=0.1),AB261&gt;=0.7),IF(AB260&lt;AB263*0.2,ROUND(AB260,0),IF(AB263*0.2&gt;=200000,Annexes!O8,ROUND(AB263*0.2,0))),0)))),0)</f>
        <v>0</v>
      </c>
      <c r="AC273" s="1"/>
      <c r="AD273" s="1"/>
      <c r="AE273" s="13"/>
    </row>
    <row r="274" spans="2:31" ht="15" hidden="1" customHeight="1">
      <c r="B274" s="173"/>
      <c r="C274" s="251"/>
      <c r="D274" s="249"/>
      <c r="E274" s="523"/>
      <c r="F274" s="523"/>
      <c r="G274" s="523"/>
      <c r="H274" s="523"/>
      <c r="I274" s="523"/>
      <c r="J274" s="523"/>
      <c r="K274" s="523"/>
      <c r="L274" s="523"/>
      <c r="M274" s="523"/>
      <c r="N274" s="523"/>
      <c r="O274" s="523"/>
      <c r="P274" s="1"/>
      <c r="T274" s="14"/>
      <c r="U274" s="1"/>
      <c r="V274" s="1"/>
      <c r="W274" s="1"/>
      <c r="X274" s="1"/>
      <c r="Y274" s="1"/>
      <c r="Z274" s="1"/>
      <c r="AA274" s="1"/>
      <c r="AB274" s="1"/>
      <c r="AC274" s="1"/>
      <c r="AD274" s="1"/>
      <c r="AE274" s="13"/>
    </row>
    <row r="275" spans="2:31" ht="16.5" hidden="1" customHeight="1">
      <c r="B275" s="173"/>
      <c r="C275" s="251"/>
      <c r="D275" s="417" t="str">
        <f>IFERROR(IF('Mon Entreprise'!K8&gt;=Annexes!O20,IF(AB233&gt;=AB235,"- Le CA de référence est celui de Février 2019, soit une perte de "&amp;ROUND(AB233,0)&amp;" €"&amp;" ==&gt; "&amp;ROUND(AE233*100,0)&amp;" %","- Le CA de référence est celui de la création, soit une perte de "&amp;ROUND(AB235,0)&amp;" €"&amp;" ==&gt; "&amp;ROUND(AE235*100,0)&amp;" %"),IF(AB233&gt;=AB234,"- Le CA de référence est celui de Février 2019, soit une perte de "&amp;ROUND(AB233,0)&amp;" €"&amp;" ==&gt; "&amp;ROUND(AE233*100,0)&amp;" %","- Le CA de référence est celui de l'exercice 2019, soit une perte de "&amp;ROUND(AB234,0)&amp;" €"&amp;" ==&gt; "&amp;ROUND(AE234*100,0)&amp;" %")),"")</f>
        <v>- Le CA de référence est celui de Février 2019, soit une perte de 0 € ==&gt; 0 %</v>
      </c>
      <c r="E275" s="417"/>
      <c r="F275" s="417"/>
      <c r="G275" s="417"/>
      <c r="H275" s="417"/>
      <c r="I275" s="417"/>
      <c r="J275" s="417"/>
      <c r="K275" s="417"/>
      <c r="L275" s="417"/>
      <c r="M275" s="417"/>
      <c r="N275" s="417"/>
      <c r="O275" s="417"/>
      <c r="P275" s="247"/>
      <c r="Q275" s="247"/>
      <c r="T275" s="14"/>
      <c r="U275" s="1"/>
      <c r="V275" s="1"/>
      <c r="W275" s="1"/>
      <c r="X275" s="1"/>
      <c r="Y275" s="1"/>
      <c r="Z275" s="1"/>
      <c r="AA275" s="1"/>
      <c r="AB275" s="1"/>
      <c r="AC275" s="1"/>
      <c r="AD275" s="1"/>
      <c r="AE275" s="13"/>
    </row>
    <row r="276" spans="2:31" ht="16.5" hidden="1" customHeight="1">
      <c r="B276" s="103"/>
      <c r="C276" s="251"/>
      <c r="D276" s="523" t="str">
        <f>IF(AB258=TRUE,"- L'entreprise peut bénéficier d'une aide de 20 % du CA de référence, plafonnée à 200 000 €",IF(OR(AB254="OUI",AND(AB255="OUI",OR(AB250&gt;=0.8,AB251&gt;=0.8,AB252&gt;=0.1))),IF(AB261&gt;=0.7,"- L'entreprise peut bénéficier d'une aide de 20 % du CA de référence, plafonnée à 200 000 €",IF(AB261&gt;=0.5,"- L'entreprise peut bénéficier d'une aide de 15 % du CA de référence, plafonnée à 200 000 €","- L'entreprise n'a subi ni de fermeture administrative avec une perte de 20 % de CA au mois de Février, ni de perte d'au moins 50 % de son CA")),IF(AND(AB256="OUI",OR(AB250&gt;=0.8,AB251&gt;=0.8,AB252&gt;=0.1),AB261&gt;=0.5),"- L'entreprise peut bénéficier d'une aide de 20 % du CA de référence, plafonnée à 200 000 €","- L'entreprise ne fait ni partie des fermetures administratives avec une perte de 20 % du CA au mois de Février, ni des activités mentionnées en annexe 1 (S1) ou en annexe 2 (S1 bis) ou Annexe 3 ou dans un centre commercial ayant une perte significative")))</f>
        <v>- L'entreprise ne fait ni partie des fermetures administratives avec une perte de 20 % du CA au mois de Février, ni des activités mentionnées en annexe 1 (S1) ou en annexe 2 (S1 bis) ou Annexe 3 ou dans un centre commercial ayant une perte significative</v>
      </c>
      <c r="E276" s="523"/>
      <c r="F276" s="523"/>
      <c r="G276" s="523"/>
      <c r="H276" s="523"/>
      <c r="I276" s="523"/>
      <c r="J276" s="523"/>
      <c r="K276" s="523"/>
      <c r="L276" s="523"/>
      <c r="M276" s="523"/>
      <c r="N276" s="523"/>
      <c r="O276" s="523"/>
      <c r="P276" s="247"/>
      <c r="Q276" s="247"/>
      <c r="T276" s="14"/>
      <c r="U276" s="1"/>
      <c r="V276" s="1"/>
      <c r="W276" s="1"/>
      <c r="X276" s="1"/>
      <c r="Y276" s="1"/>
      <c r="Z276" s="1"/>
      <c r="AA276" s="1"/>
      <c r="AB276" s="1"/>
      <c r="AC276" s="1"/>
      <c r="AD276" s="1"/>
      <c r="AE276" s="13"/>
    </row>
    <row r="277" spans="2:31" ht="16.5" hidden="1" customHeight="1">
      <c r="B277" s="168"/>
      <c r="C277" s="251"/>
      <c r="D277" s="523"/>
      <c r="E277" s="523"/>
      <c r="F277" s="523"/>
      <c r="G277" s="523"/>
      <c r="H277" s="523"/>
      <c r="I277" s="523"/>
      <c r="J277" s="523"/>
      <c r="K277" s="523"/>
      <c r="L277" s="523"/>
      <c r="M277" s="523"/>
      <c r="N277" s="523"/>
      <c r="O277" s="523"/>
      <c r="P277" s="247"/>
      <c r="Q277" s="247"/>
      <c r="T277" s="14"/>
      <c r="U277" s="1"/>
      <c r="V277" s="1"/>
      <c r="W277" s="1"/>
      <c r="X277" s="1"/>
      <c r="Y277" s="1"/>
      <c r="Z277" s="1"/>
      <c r="AA277" s="1"/>
      <c r="AB277" s="1"/>
      <c r="AC277" s="1"/>
      <c r="AD277" s="1"/>
      <c r="AE277" s="13"/>
    </row>
    <row r="278" spans="2:31" ht="16.5" hidden="1" customHeight="1" thickBot="1">
      <c r="B278" s="168"/>
      <c r="C278" s="251"/>
      <c r="D278" s="205"/>
      <c r="E278" s="247"/>
      <c r="F278" s="247"/>
      <c r="G278" s="247"/>
      <c r="H278" s="247"/>
      <c r="I278" s="247"/>
      <c r="J278" s="247"/>
      <c r="K278" s="247"/>
      <c r="L278" s="247"/>
      <c r="M278" s="247"/>
      <c r="N278" s="247"/>
      <c r="O278" s="247"/>
      <c r="P278" s="247"/>
      <c r="Q278" s="247"/>
      <c r="T278" s="14"/>
      <c r="U278" s="1"/>
      <c r="V278" s="1"/>
      <c r="W278" s="1"/>
      <c r="X278" s="1"/>
      <c r="Y278" s="1"/>
      <c r="Z278" s="1"/>
      <c r="AA278" s="1"/>
      <c r="AB278" s="1"/>
      <c r="AC278" s="1"/>
      <c r="AD278" s="1"/>
      <c r="AE278" s="13"/>
    </row>
    <row r="279" spans="2:31" ht="16.5" hidden="1" customHeight="1">
      <c r="B279" s="103"/>
      <c r="C279" s="180"/>
      <c r="D279" s="526" t="str">
        <f>IFERROR(IF('Mon Entreprise'!K8&gt;Annexes!Q26,"Vous avez débuté votre activité après le 31 Octobre 2020, vous ne pouvez donc pas bénéficier de cette aide",IF(AB258=TRUE,IF(AB263=0,"Vous n'avez pas indiqué de chiffre d'affaires de référence",IF(AB260&lt;AB263*0.2,"Dans votre cas, la perte est inférieure à 20 % du CA, l'aide est donc plafonnée à la perte, soit "&amp;ROUND(AB260,0)&amp;" € pour le mois de Février",IF(AB263*0.2&gt;=200000,"Dans votre cas, l'aide est plafonnée, à "&amp;Annexes!O8&amp;" € pour le mois de Février","Vous pouvez bénéficier, au titre de cette aide, d'un montant de "&amp;ROUND(AB263*0.2,0)&amp;" € pour le mois de Février"))),IF(OR(AB254="OUI",AND(AB255="OUI",OR(AB250&gt;=0.8,AB251&gt;=0.8,AB252&gt;=0.1))),IF(AB261&gt;=0.7,IF(AB260&lt;AB263*0.2,"Dans votre cas, la perte est inférieure à 20 % du CA, l'aide est donc plafonnée à la perte, soit "&amp;ROUND(AB260,0)&amp;" € pour le mois de Février",IF(AB263*0.2&gt;=200000,"Dans votre cas, l'aide est plafonnée, à "&amp;Annexes!O8&amp;" € pour le mois de Février","Vous pouvez bénéficier, au titre de cette aide, d'un montant de "&amp;ROUND(AB263*0.2,0)&amp;" € pour le mois de Février")),IF(AB261&gt;=0.5,IF(AB260&lt;AB263*0.15,"Dans votre cas, la perte est inférieure à 15 % du CA, l'aide est donc plafonnée à la perte, soit "&amp;ROUND(AB260,0)&amp;" € pour le mois de Février",IF(AB263*0.15&gt;=200000,"Dans votre cas, l'aide est plafonnée, à "&amp;Annexes!O8&amp;" € pour le mois de Février","Vous pouvez bénéficier, au titre de cette aide, d'un montant de "&amp;ROUND(AB263*0.15,0)&amp;" € pour le mois de Février")),IF(AND(AB256="OUI",OR(AB250&gt;=0.8,AB251&gt;=0.8,AB252&gt;=0.1),AB261&gt;=0.7),IF(AB260&lt;AB263*0.2,"Dans votre cas, la perte est inférieure à 20 % du CA, l'aide est donc plafonnée à la perte, soit "&amp;ROUND(AB260,0)&amp;" € pour le mois de Février",IF(AB263*0.2&gt;=200000,"Dans votre cas, l'aide est plafonnée, à "&amp;Annexes!O8&amp;" € pour le mois de Février","Vous pouvez bénéficier, au titre de cette aide, d'un montant de "&amp;ROUND(AB263*0.2,0)&amp;" € pour le mois de Février")),"L'entreprise ne fait ni partie des fermetures administratives au mois de Février, ni des activités mentionnées en annexe 1 (S1) avec 50 % de perte en Février ou en annexe 2 (S1 bis) ou 3 ou dans un centre commercial avec 70 % de Perte en Février"))),IF(AND(AB256="OUI",OR(AB250&gt;=0.8,AB251&gt;=0.8,AB252&gt;=0.1),AB261&gt;=0.7),IF(AB260&lt;AB263*0.2,"Dans votre cas, la perte est inférieure à 20 % du CA, l'aide est donc plafonnée à la perte, soit "&amp;ROUND(AB260,0)&amp;" € pour le mois de Février",IF(AB263*0.2&gt;=200000,"Dans votre cas, l'aide est plafonnée, à "&amp;Annexes!O8&amp;" € pour le mois de Février","Vous pouvez bénéficier, au titre de cette aide, d'un montant de "&amp;ROUND(AB263*0.2,0)&amp;" € pour le mois de Février")),"L'entreprise ne fait ni partie des fermetures administratives avec 20 % de perte au mois de Février, ni des activités mentionnées en annexe 1 (S1)"&amp;" ou en annexe 2 (S1 bis) avec 50 % de perte en Février ou 3 ou dans un centre commercial avec 70 % de Perte en Février")))),"Vous n'avez pas indiqué de chiffre d'affaires de référence")</f>
        <v>L'entreprise ne fait ni partie des fermetures administratives avec 20 % de perte au mois de Février, ni des activités mentionnées en annexe 1 (S1) ou en annexe 2 (S1 bis) avec 50 % de perte en Février ou 3 ou dans un centre commercial avec 70 % de Perte en Février</v>
      </c>
      <c r="E279" s="509"/>
      <c r="F279" s="509"/>
      <c r="G279" s="509"/>
      <c r="H279" s="509"/>
      <c r="I279" s="509"/>
      <c r="J279" s="509"/>
      <c r="K279" s="509"/>
      <c r="L279" s="509"/>
      <c r="M279" s="509"/>
      <c r="N279" s="509"/>
      <c r="O279" s="510"/>
      <c r="P279" s="247"/>
      <c r="Q279" s="247"/>
      <c r="T279" s="14"/>
      <c r="U279" s="1"/>
      <c r="V279" s="1"/>
      <c r="W279" s="1"/>
      <c r="X279" s="1"/>
      <c r="Y279" s="1"/>
      <c r="Z279" s="1"/>
      <c r="AA279" s="1"/>
      <c r="AB279" s="1"/>
      <c r="AC279" s="1"/>
      <c r="AD279" s="1"/>
      <c r="AE279" s="13"/>
    </row>
    <row r="280" spans="2:31" ht="16.5" hidden="1" customHeight="1">
      <c r="B280" s="103"/>
      <c r="C280" s="180"/>
      <c r="D280" s="511"/>
      <c r="E280" s="512"/>
      <c r="F280" s="512"/>
      <c r="G280" s="512"/>
      <c r="H280" s="512"/>
      <c r="I280" s="512"/>
      <c r="J280" s="512"/>
      <c r="K280" s="512"/>
      <c r="L280" s="512"/>
      <c r="M280" s="512"/>
      <c r="N280" s="512"/>
      <c r="O280" s="513"/>
      <c r="P280" s="247"/>
      <c r="Q280" s="247"/>
      <c r="T280" s="14"/>
      <c r="U280" s="1"/>
      <c r="V280" s="1"/>
      <c r="W280" s="1"/>
      <c r="X280" s="1"/>
      <c r="Y280" s="1"/>
      <c r="Z280" s="1"/>
      <c r="AA280" s="1"/>
      <c r="AB280" s="1"/>
      <c r="AC280" s="1"/>
      <c r="AD280" s="1"/>
      <c r="AE280" s="13"/>
    </row>
    <row r="281" spans="2:31" ht="16.5" hidden="1" customHeight="1">
      <c r="B281" s="103"/>
      <c r="C281" s="180"/>
      <c r="D281" s="511"/>
      <c r="E281" s="512"/>
      <c r="F281" s="512"/>
      <c r="G281" s="512"/>
      <c r="H281" s="512"/>
      <c r="I281" s="512"/>
      <c r="J281" s="512"/>
      <c r="K281" s="512"/>
      <c r="L281" s="512"/>
      <c r="M281" s="512"/>
      <c r="N281" s="512"/>
      <c r="O281" s="513"/>
      <c r="P281" s="175"/>
      <c r="Q281" s="175"/>
      <c r="T281" s="14"/>
      <c r="U281" s="1"/>
      <c r="V281" s="1"/>
      <c r="W281" s="1"/>
      <c r="X281" s="1"/>
      <c r="Y281" s="1"/>
      <c r="Z281" s="1"/>
      <c r="AA281" s="1"/>
      <c r="AB281" s="1"/>
      <c r="AC281" s="1"/>
      <c r="AD281" s="1"/>
      <c r="AE281" s="13"/>
    </row>
    <row r="282" spans="2:31" ht="16.5" hidden="1" customHeight="1" thickBot="1">
      <c r="B282" s="103"/>
      <c r="C282" s="180"/>
      <c r="D282" s="514"/>
      <c r="E282" s="515"/>
      <c r="F282" s="515"/>
      <c r="G282" s="515"/>
      <c r="H282" s="515"/>
      <c r="I282" s="515"/>
      <c r="J282" s="515"/>
      <c r="K282" s="515"/>
      <c r="L282" s="515"/>
      <c r="M282" s="515"/>
      <c r="N282" s="515"/>
      <c r="O282" s="516"/>
      <c r="T282" s="14"/>
      <c r="U282" s="1"/>
      <c r="V282" s="1"/>
      <c r="W282" s="1"/>
      <c r="X282" s="1"/>
      <c r="Y282" s="1"/>
      <c r="Z282" s="1"/>
      <c r="AA282" s="1"/>
      <c r="AB282" s="1"/>
      <c r="AC282" s="1"/>
      <c r="AD282" s="1"/>
      <c r="AE282" s="13"/>
    </row>
    <row r="283" spans="2:31" ht="16.5" hidden="1" customHeight="1">
      <c r="B283" s="5"/>
      <c r="C283" s="5"/>
      <c r="D283" s="254"/>
      <c r="E283" s="254"/>
      <c r="F283" s="254"/>
      <c r="G283" s="254"/>
      <c r="H283" s="254"/>
      <c r="I283" s="254"/>
      <c r="J283" s="254"/>
      <c r="K283" s="254"/>
      <c r="L283" s="254"/>
      <c r="M283" s="254"/>
      <c r="N283" s="254"/>
      <c r="O283" s="254"/>
      <c r="P283" s="177"/>
      <c r="Q283" s="177"/>
      <c r="T283" s="14"/>
      <c r="U283" s="1"/>
      <c r="V283" s="1"/>
      <c r="W283" s="1"/>
      <c r="X283" s="1"/>
      <c r="Y283" s="1"/>
      <c r="Z283" s="1"/>
      <c r="AA283" s="1"/>
      <c r="AB283" s="1"/>
      <c r="AC283" s="1"/>
      <c r="AD283" s="1"/>
      <c r="AE283" s="13"/>
    </row>
    <row r="284" spans="2:31" hidden="1">
      <c r="B284" s="5"/>
      <c r="C284" s="5"/>
      <c r="D284" s="254"/>
      <c r="E284" s="254"/>
      <c r="F284" s="254"/>
      <c r="G284" s="254"/>
      <c r="H284" s="254"/>
      <c r="I284" s="254"/>
      <c r="J284" s="254"/>
      <c r="K284" s="254"/>
      <c r="L284" s="254"/>
      <c r="M284" s="254"/>
      <c r="N284" s="254"/>
      <c r="O284" s="254"/>
      <c r="P284" s="177"/>
      <c r="Q284" s="177"/>
      <c r="T284" s="14"/>
      <c r="U284" s="1"/>
      <c r="V284" s="1"/>
      <c r="W284" s="1"/>
      <c r="X284" s="1"/>
      <c r="Y284" s="1"/>
      <c r="Z284" s="1"/>
      <c r="AA284" s="1"/>
      <c r="AB284" s="1"/>
      <c r="AC284" s="1"/>
      <c r="AD284" s="1"/>
      <c r="AE284" s="13"/>
    </row>
    <row r="285" spans="2:31">
      <c r="B285" s="5"/>
      <c r="C285" s="5"/>
      <c r="D285" s="254"/>
      <c r="E285" s="254"/>
      <c r="F285" s="254"/>
      <c r="G285" s="254"/>
      <c r="H285" s="254"/>
      <c r="I285" s="254"/>
      <c r="J285" s="254"/>
      <c r="K285" s="254"/>
      <c r="L285" s="254"/>
      <c r="M285" s="254"/>
      <c r="N285" s="254"/>
      <c r="O285" s="254"/>
      <c r="P285" s="177"/>
      <c r="Q285" s="177"/>
      <c r="T285" s="15"/>
      <c r="U285" s="10"/>
      <c r="V285" s="10"/>
      <c r="W285" s="10"/>
      <c r="X285" s="10"/>
      <c r="Y285" s="10"/>
      <c r="Z285" s="10"/>
      <c r="AA285" s="10"/>
      <c r="AB285" s="10"/>
      <c r="AC285" s="10"/>
      <c r="AD285" s="10"/>
      <c r="AE285" s="4"/>
    </row>
    <row r="286" spans="2:31" ht="16.5" thickBot="1">
      <c r="B286" s="220"/>
      <c r="C286" s="488" t="s">
        <v>382</v>
      </c>
      <c r="D286" s="488"/>
      <c r="E286" s="488"/>
      <c r="F286" s="488"/>
      <c r="G286" s="488"/>
      <c r="H286" s="488"/>
      <c r="I286" s="221"/>
      <c r="J286" s="221"/>
      <c r="K286" s="221"/>
      <c r="L286" s="221"/>
      <c r="M286" s="221"/>
      <c r="N286" s="221"/>
      <c r="O286" s="221"/>
      <c r="T286" s="16"/>
      <c r="U286" s="11"/>
      <c r="V286" s="11"/>
      <c r="W286" s="11"/>
      <c r="X286" s="11"/>
      <c r="Y286" s="11"/>
      <c r="Z286" s="11"/>
      <c r="AA286" s="11"/>
      <c r="AB286" s="11"/>
      <c r="AC286" s="11"/>
      <c r="AD286" s="11"/>
      <c r="AE286" s="12"/>
    </row>
    <row r="287" spans="2:31" ht="15" customHeight="1">
      <c r="B287" s="63"/>
      <c r="C287" s="24"/>
      <c r="D287" s="24"/>
      <c r="E287" s="24"/>
      <c r="F287" s="24"/>
      <c r="G287" s="24"/>
      <c r="H287" s="63"/>
      <c r="I287" s="1"/>
      <c r="J287" s="1"/>
      <c r="K287" s="1"/>
      <c r="L287" s="1"/>
      <c r="M287" s="1"/>
      <c r="N287" s="1"/>
      <c r="O287" s="1"/>
      <c r="T287" s="14"/>
      <c r="U287" s="1"/>
      <c r="V287" s="1"/>
      <c r="W287" s="1"/>
      <c r="X287" s="1"/>
      <c r="Y287" s="1"/>
      <c r="Z287" s="1"/>
      <c r="AA287" s="1"/>
      <c r="AB287" s="1"/>
      <c r="AC287" s="1"/>
      <c r="AD287" s="1"/>
      <c r="AE287" s="13"/>
    </row>
    <row r="288" spans="2:31" ht="15" customHeight="1">
      <c r="B288" s="103"/>
      <c r="C288" s="489" t="s">
        <v>390</v>
      </c>
      <c r="D288" s="489"/>
      <c r="E288" s="489"/>
      <c r="F288" s="489"/>
      <c r="G288" s="489"/>
      <c r="H288" s="489"/>
      <c r="I288" s="489"/>
      <c r="J288" s="489"/>
      <c r="K288" s="489"/>
      <c r="L288" s="489"/>
      <c r="M288" s="489"/>
      <c r="N288" s="489"/>
      <c r="O288" s="489"/>
      <c r="P288" s="1"/>
      <c r="T288" s="25"/>
      <c r="U288" s="490" t="s">
        <v>20</v>
      </c>
      <c r="V288" s="490"/>
      <c r="W288" s="490"/>
      <c r="X288" s="1"/>
      <c r="Y288" s="275" t="s">
        <v>6</v>
      </c>
      <c r="Z288" s="275"/>
      <c r="AA288" s="275"/>
      <c r="AB288" s="275" t="s">
        <v>23</v>
      </c>
      <c r="AC288" s="275"/>
      <c r="AD288" s="275"/>
      <c r="AE288" s="26" t="s">
        <v>24</v>
      </c>
    </row>
    <row r="289" spans="2:31" ht="15.75" customHeight="1">
      <c r="B289" s="103"/>
      <c r="C289" s="274"/>
      <c r="D289" s="60" t="s">
        <v>383</v>
      </c>
      <c r="E289" s="274"/>
      <c r="F289" s="274"/>
      <c r="G289" s="274"/>
      <c r="H289" s="274"/>
      <c r="I289" s="274"/>
      <c r="J289" s="274"/>
      <c r="K289" s="274"/>
      <c r="L289" s="274"/>
      <c r="M289" s="274"/>
      <c r="N289" s="274"/>
      <c r="O289" s="274"/>
      <c r="P289" s="1"/>
      <c r="T289" s="25"/>
      <c r="U289" s="275"/>
      <c r="V289" s="275"/>
      <c r="W289" s="275"/>
      <c r="X289" s="1"/>
      <c r="Y289" s="275"/>
      <c r="Z289" s="275"/>
      <c r="AA289" s="275"/>
      <c r="AB289" s="275"/>
      <c r="AC289" s="275"/>
      <c r="AD289" s="275"/>
      <c r="AE289" s="26"/>
    </row>
    <row r="290" spans="2:31" ht="16.5" thickBot="1">
      <c r="B290" s="103"/>
      <c r="C290" s="274"/>
      <c r="D290" s="60"/>
      <c r="E290" s="274"/>
      <c r="F290" s="274"/>
      <c r="G290" s="274"/>
      <c r="H290" s="274"/>
      <c r="I290" s="274"/>
      <c r="J290" s="274"/>
      <c r="K290" s="274"/>
      <c r="L290" s="274"/>
      <c r="M290" s="274"/>
      <c r="N290" s="274"/>
      <c r="O290" s="274"/>
      <c r="P290" s="1"/>
      <c r="T290" s="491" t="s">
        <v>386</v>
      </c>
      <c r="U290" s="490"/>
      <c r="V290" s="490"/>
      <c r="W290" s="490"/>
      <c r="X290" s="1"/>
      <c r="Y290" s="7">
        <f>'Mon Entreprise'!I126</f>
        <v>0</v>
      </c>
      <c r="Z290" s="133"/>
      <c r="AA290" s="21"/>
      <c r="AB290" s="7">
        <f>IF('Mon Entreprise'!I126-'Mon Entreprise'!M126&lt;0,0,'Mon Entreprise'!I126-'Mon Entreprise'!M126)</f>
        <v>0</v>
      </c>
      <c r="AC290" s="13"/>
      <c r="AD290" s="1"/>
      <c r="AE290" s="27">
        <f>IFERROR(1-'Mon Entreprise'!M126/'Mon Entreprise'!I126,0)</f>
        <v>0</v>
      </c>
    </row>
    <row r="291" spans="2:31" ht="15.75">
      <c r="B291" s="103"/>
      <c r="C291" s="274"/>
      <c r="D291" s="492" t="str">
        <f>IFERROR(IF(AND(AB334=0,AB335=0,AB336=0),"Vous ne pouvez pas bénéficier du fonds de solidarité pour le mois de Mars 2021",IF(AND(AB336&gt;AB335,AB336&gt;AB334),"Votre entreprise peut bénéficier d'une aide de "&amp;AB336&amp;" €, au titre d'une fermeture Administrative avec une perte de 20 % de CA, ou d'une perte d'au moins 50 % ou 70 % du CA pour les activités mentionnées en annexe 1,"&amp;" ou d'une perte d'au moins 70 % du CA pour les activités mentionnées en annexe 2 ou 3 ou dans un centre commercial, ou domicilié dans certaines îles d'outre-mer",IF(AB335&gt;AB334,"Votre entreprise peut bénéficier d'une aide de "&amp;AB335&amp;" €, au titre d'une fermeture Administrative avec une perte de 20 % du CA, ou d'une perte d'au moins 50 % du CA pour les activités mentionnées en annexe 1,"&amp;" ou en annexe 2 ou 3 ou dans un centre commercial, ou domicilié dans certaines îles d'outre-mer, ayant une perte de CA d'au moins 80 % entre le 15/03/2020 et le 15/05/2020, au mois de Novembre 2020 ou 10 % de perte entre 2019 et 2020","Votre entreprise peut bénéficier d'une aide de "&amp;AB334&amp;" €, au titre d'une perte d'au-moins 50 % de votre CA en Mars 2021"))),"Vous n'avez pas indiqué de chiffre d'affaires de référence")</f>
        <v>Vous ne pouvez pas bénéficier du fonds de solidarité pour le mois de Mars 2021</v>
      </c>
      <c r="E291" s="493"/>
      <c r="F291" s="493"/>
      <c r="G291" s="493"/>
      <c r="H291" s="493"/>
      <c r="I291" s="493"/>
      <c r="J291" s="493"/>
      <c r="K291" s="493"/>
      <c r="L291" s="493"/>
      <c r="M291" s="493"/>
      <c r="N291" s="493"/>
      <c r="O291" s="494"/>
      <c r="P291" s="1"/>
      <c r="T291" s="491" t="s">
        <v>25</v>
      </c>
      <c r="U291" s="490"/>
      <c r="V291" s="490"/>
      <c r="W291" s="490"/>
      <c r="X291" s="1"/>
      <c r="Y291" s="7">
        <f>'Mon Entreprise'!I98</f>
        <v>0</v>
      </c>
      <c r="Z291" s="133"/>
      <c r="AA291" s="21"/>
      <c r="AB291" s="7">
        <f>IF('Mon Entreprise'!I98-'Mon Entreprise'!M126&lt;0,0,'Mon Entreprise'!I98-'Mon Entreprise'!M126)</f>
        <v>0</v>
      </c>
      <c r="AC291" s="36"/>
      <c r="AD291" s="1"/>
      <c r="AE291" s="27">
        <f>IFERROR(1-'Mon Entreprise'!M126/'Mon Entreprise'!I98,0)</f>
        <v>0</v>
      </c>
    </row>
    <row r="292" spans="2:31" ht="15.75" customHeight="1">
      <c r="B292" s="103"/>
      <c r="C292" s="274"/>
      <c r="D292" s="495"/>
      <c r="E292" s="496"/>
      <c r="F292" s="496"/>
      <c r="G292" s="496"/>
      <c r="H292" s="496"/>
      <c r="I292" s="496"/>
      <c r="J292" s="496"/>
      <c r="K292" s="496"/>
      <c r="L292" s="496"/>
      <c r="M292" s="496"/>
      <c r="N292" s="496"/>
      <c r="O292" s="497"/>
      <c r="P292" s="1"/>
      <c r="T292" s="501" t="s">
        <v>22</v>
      </c>
      <c r="U292" s="502"/>
      <c r="V292" s="502"/>
      <c r="W292" s="502"/>
      <c r="X292" s="139"/>
      <c r="Y292" s="140" t="str">
        <f>IF('Mon Entreprise'!I155="","NC",'Mon Entreprise'!I155)</f>
        <v>NC</v>
      </c>
      <c r="Z292" s="191"/>
      <c r="AA292" s="192"/>
      <c r="AB292" s="143" t="str">
        <f>IFERROR(IF('Mon Entreprise'!I155-'Mon Entreprise'!M126&lt;0,0,'Mon Entreprise'!I155-'Mon Entreprise'!M126),"NC")</f>
        <v>NC</v>
      </c>
      <c r="AC292" s="193"/>
      <c r="AD292" s="139"/>
      <c r="AE292" s="146" t="str">
        <f>IFERROR(1-'Mon Entreprise'!M126/'Mon Entreprise'!I155,"NC")</f>
        <v>NC</v>
      </c>
    </row>
    <row r="293" spans="2:31" ht="15.75" customHeight="1">
      <c r="B293" s="103"/>
      <c r="C293" s="301"/>
      <c r="D293" s="495"/>
      <c r="E293" s="496"/>
      <c r="F293" s="496"/>
      <c r="G293" s="496"/>
      <c r="H293" s="496"/>
      <c r="I293" s="496"/>
      <c r="J293" s="496"/>
      <c r="K293" s="496"/>
      <c r="L293" s="496"/>
      <c r="M293" s="496"/>
      <c r="N293" s="496"/>
      <c r="O293" s="497"/>
      <c r="P293" s="1"/>
      <c r="T293" s="302"/>
      <c r="U293" s="303"/>
      <c r="V293" s="303"/>
      <c r="W293" s="303"/>
      <c r="X293" s="139"/>
      <c r="Y293" s="140"/>
      <c r="Z293" s="141"/>
      <c r="AA293" s="192"/>
      <c r="AB293" s="143"/>
      <c r="AC293" s="303"/>
      <c r="AD293" s="139"/>
      <c r="AE293" s="146"/>
    </row>
    <row r="294" spans="2:31" ht="15.75" customHeight="1">
      <c r="B294" s="103"/>
      <c r="C294" s="274"/>
      <c r="D294" s="495"/>
      <c r="E294" s="496"/>
      <c r="F294" s="496"/>
      <c r="G294" s="496"/>
      <c r="H294" s="496"/>
      <c r="I294" s="496"/>
      <c r="J294" s="496"/>
      <c r="K294" s="496"/>
      <c r="L294" s="496"/>
      <c r="M294" s="496"/>
      <c r="N294" s="496"/>
      <c r="O294" s="497"/>
      <c r="P294" s="1"/>
      <c r="T294" s="14"/>
      <c r="U294" s="1"/>
      <c r="V294" s="1"/>
      <c r="W294" s="1"/>
      <c r="X294" s="1"/>
      <c r="Y294" s="1"/>
      <c r="Z294" s="1"/>
      <c r="AA294" s="1"/>
      <c r="AB294" s="1"/>
      <c r="AC294" s="1"/>
      <c r="AD294" s="1"/>
      <c r="AE294" s="13"/>
    </row>
    <row r="295" spans="2:31" ht="15.75" customHeight="1">
      <c r="B295" s="103"/>
      <c r="C295" s="274"/>
      <c r="D295" s="495"/>
      <c r="E295" s="496"/>
      <c r="F295" s="496"/>
      <c r="G295" s="496"/>
      <c r="H295" s="496"/>
      <c r="I295" s="496"/>
      <c r="J295" s="496"/>
      <c r="K295" s="496"/>
      <c r="L295" s="496"/>
      <c r="M295" s="496"/>
      <c r="N295" s="496"/>
      <c r="O295" s="497"/>
      <c r="P295" s="1"/>
      <c r="T295" s="14"/>
      <c r="AC295" s="1"/>
      <c r="AD295" s="1"/>
      <c r="AE295" s="13"/>
    </row>
    <row r="296" spans="2:31" ht="15.75" customHeight="1" thickBot="1">
      <c r="B296" s="103"/>
      <c r="C296" s="274"/>
      <c r="D296" s="498"/>
      <c r="E296" s="499"/>
      <c r="F296" s="499"/>
      <c r="G296" s="499"/>
      <c r="H296" s="499"/>
      <c r="I296" s="499"/>
      <c r="J296" s="499"/>
      <c r="K296" s="499"/>
      <c r="L296" s="499"/>
      <c r="M296" s="499"/>
      <c r="N296" s="499"/>
      <c r="O296" s="500"/>
      <c r="P296" s="1"/>
      <c r="T296" s="14"/>
      <c r="AC296" s="1"/>
      <c r="AD296" s="1"/>
      <c r="AE296" s="13"/>
    </row>
    <row r="297" spans="2:31" ht="16.5" customHeight="1">
      <c r="B297" s="103"/>
      <c r="C297" s="274"/>
      <c r="D297" s="330" t="s">
        <v>397</v>
      </c>
      <c r="E297" s="274"/>
      <c r="F297" s="274"/>
      <c r="G297" s="274"/>
      <c r="H297" s="274"/>
      <c r="I297" s="274"/>
      <c r="J297" s="274"/>
      <c r="K297" s="274"/>
      <c r="L297" s="274"/>
      <c r="M297" s="274"/>
      <c r="N297" s="274"/>
      <c r="O297" s="274"/>
      <c r="P297" s="1"/>
      <c r="T297" s="14"/>
      <c r="AC297" s="1"/>
      <c r="AD297" s="1"/>
      <c r="AE297" s="13"/>
    </row>
    <row r="298" spans="2:31" ht="15.75" hidden="1">
      <c r="B298" s="103"/>
      <c r="C298" s="78"/>
      <c r="D298" s="78"/>
      <c r="E298" s="78"/>
      <c r="F298" s="78"/>
      <c r="G298" s="78"/>
      <c r="H298" s="78"/>
      <c r="I298" s="78"/>
      <c r="J298" s="78"/>
      <c r="K298" s="78"/>
      <c r="L298" s="78"/>
      <c r="M298" s="78"/>
      <c r="N298" s="78"/>
      <c r="O298" s="78"/>
      <c r="P298" s="1"/>
      <c r="T298" s="14"/>
      <c r="U298" s="1"/>
      <c r="V298" s="1"/>
      <c r="W298" s="1"/>
      <c r="X298" s="1"/>
      <c r="Y298" s="1"/>
      <c r="Z298" s="1"/>
      <c r="AA298" s="1"/>
      <c r="AB298" s="1"/>
      <c r="AC298" s="1"/>
      <c r="AD298" s="1"/>
      <c r="AE298" s="13"/>
    </row>
    <row r="299" spans="2:31" ht="15.75" hidden="1">
      <c r="B299" s="103"/>
      <c r="C299" s="274"/>
      <c r="D299" s="60"/>
      <c r="E299" s="274"/>
      <c r="F299" s="274"/>
      <c r="G299" s="274"/>
      <c r="H299" s="274"/>
      <c r="I299" s="274"/>
      <c r="J299" s="274"/>
      <c r="K299" s="274"/>
      <c r="L299" s="274"/>
      <c r="M299" s="274"/>
      <c r="N299" s="274"/>
      <c r="O299" s="274"/>
      <c r="P299" s="1"/>
      <c r="T299" s="14"/>
      <c r="U299" s="1"/>
      <c r="V299" s="1"/>
      <c r="W299" s="1"/>
      <c r="X299" s="1"/>
      <c r="Y299" s="1"/>
      <c r="Z299" s="1"/>
      <c r="AA299" s="1"/>
      <c r="AB299" s="1"/>
      <c r="AC299" s="1"/>
      <c r="AD299" s="1"/>
      <c r="AE299" s="13"/>
    </row>
    <row r="300" spans="2:31" ht="15.75" hidden="1">
      <c r="B300" s="103"/>
      <c r="C300" s="274" t="s">
        <v>391</v>
      </c>
      <c r="D300" s="60"/>
      <c r="E300" s="274"/>
      <c r="F300" s="274"/>
      <c r="G300" s="274"/>
      <c r="H300" s="274"/>
      <c r="I300" s="274"/>
      <c r="J300" s="274"/>
      <c r="K300" s="274"/>
      <c r="L300" s="274"/>
      <c r="M300" s="274"/>
      <c r="N300" s="274"/>
      <c r="O300" s="274"/>
      <c r="P300" s="1"/>
      <c r="T300" s="14"/>
      <c r="U300" s="1"/>
      <c r="V300" s="1"/>
      <c r="W300" s="1"/>
      <c r="X300" s="1"/>
      <c r="Y300" s="1"/>
      <c r="Z300" s="1"/>
      <c r="AA300" s="1"/>
      <c r="AB300" s="1"/>
      <c r="AC300" s="1"/>
      <c r="AD300" s="1"/>
      <c r="AE300" s="13"/>
    </row>
    <row r="301" spans="2:31" ht="15.75" hidden="1">
      <c r="B301" s="103"/>
      <c r="C301" s="289" t="s">
        <v>392</v>
      </c>
      <c r="D301" s="60"/>
      <c r="E301" s="294"/>
      <c r="F301" s="294"/>
      <c r="G301" s="294"/>
      <c r="H301" s="294"/>
      <c r="I301" s="294"/>
      <c r="J301" s="294"/>
      <c r="K301" s="294"/>
      <c r="L301" s="294"/>
      <c r="M301" s="294"/>
      <c r="N301" s="294"/>
      <c r="O301" s="294"/>
      <c r="P301" s="1"/>
      <c r="T301" s="14"/>
      <c r="U301" s="506" t="s">
        <v>72</v>
      </c>
      <c r="V301" s="506"/>
      <c r="W301" s="506"/>
      <c r="X301" s="506"/>
      <c r="Y301" s="506"/>
      <c r="Z301" s="1"/>
      <c r="AA301" s="14"/>
      <c r="AB301" s="271" t="str">
        <f>IF('Mon Entreprise'!K8&lt;=Annexes!Q29,"Oui","Non")</f>
        <v>Oui</v>
      </c>
      <c r="AC301" s="1"/>
      <c r="AD301" s="1"/>
      <c r="AE301" s="13"/>
    </row>
    <row r="302" spans="2:31" ht="15.75" hidden="1">
      <c r="B302" s="168"/>
      <c r="C302" s="274"/>
      <c r="D302" s="60" t="str">
        <f>IFERROR(IF('Mon Entreprise'!K8&gt;=Annexes!O20,IF(AB290&gt;=AB292,"Le CA de référence est celui de Mars 2019, soit une perte de "&amp;ROUND(AB290,0)&amp;" €"&amp;" ==&gt; "&amp;ROUND(AE290*100,0)&amp;" %","Le CA de référence est celui de la création, soit une perte de "&amp;ROUND(AB292,0)&amp;" €"&amp;" ==&gt; "&amp;ROUND(AE292*100,0)&amp;" %"),IF(AB290&gt;=AB291,"Le CA de référence est celui de Mars 2019, soit une perte de "&amp;ROUND(AB290,0)&amp;" €"&amp;" ==&gt; "&amp;ROUND(AE290*100,0)&amp;" %","Le CA de référence est celui de l'exercice 2019, soit une perte de "&amp;ROUND(AB291,0)&amp;" €"&amp;" ==&gt; "&amp;ROUND(AE291*100,0)&amp;" %")),"")</f>
        <v>Le CA de référence est celui de Mars 2019, soit une perte de 0 € ==&gt; 0 %</v>
      </c>
      <c r="E302" s="274"/>
      <c r="F302" s="274"/>
      <c r="G302" s="274"/>
      <c r="H302" s="274"/>
      <c r="I302" s="274"/>
      <c r="J302" s="274"/>
      <c r="K302" s="274"/>
      <c r="L302" s="274"/>
      <c r="M302" s="274"/>
      <c r="N302" s="274"/>
      <c r="O302" s="274"/>
      <c r="P302" s="1"/>
      <c r="T302" s="14"/>
      <c r="U302" s="293"/>
      <c r="V302" s="506" t="s">
        <v>393</v>
      </c>
      <c r="W302" s="506"/>
      <c r="X302" s="506"/>
      <c r="Y302" s="506"/>
      <c r="Z302" s="1"/>
      <c r="AA302" s="14"/>
      <c r="AB302" s="292">
        <f>IF('Mon Entreprise'!K8&gt;=Annexes!O20,IF(Y290&gt;=Y292,Y290,Y292),IF(Y290&gt;=Y291,Y290,Y291))</f>
        <v>0</v>
      </c>
      <c r="AC302" s="1"/>
      <c r="AD302" s="1"/>
      <c r="AE302" s="13"/>
    </row>
    <row r="303" spans="2:31" ht="15.75" hidden="1">
      <c r="B303" s="168"/>
      <c r="C303" s="294"/>
      <c r="D303" s="507" t="str">
        <f>IFERROR(IF('Mon Entreprise'!K8&gt;=Annexes!O20,"",IF(AB290&lt;AB291,"A noter qu'il convient de choisir l'option retenue par l'entreprise lors de sa demande au titre du mois Février 2021, si le CA de référence était celui de février 2019, il convient de prendre celui de Mars 2019, soit "&amp;ROUND(AB290,0)&amp;" €"&amp;" ==&gt; "&amp;ROUND(AE290*100,0)&amp;" %","A noter qu'il convient de choisir l'option retenue par l'entreprise lors de sa demande au titre du mois Février 2021, si le CA de référence était celui de l'exercice 2019, il convient de prendre celui de l'exercie 2019, soit une perte de "&amp;ROUND(AB291,0)&amp;" €"&amp;" ==&gt; "&amp;ROUND(AE291*100,0)&amp;" %")),"")</f>
        <v>A noter qu'il convient de choisir l'option retenue par l'entreprise lors de sa demande au titre du mois Février 2021, si le CA de référence était celui de l'exercice 2019, il convient de prendre celui de l'exercie 2019, soit une perte de 0 € ==&gt; 0 %</v>
      </c>
      <c r="E303" s="507"/>
      <c r="F303" s="507"/>
      <c r="G303" s="507"/>
      <c r="H303" s="507"/>
      <c r="I303" s="507"/>
      <c r="J303" s="507"/>
      <c r="K303" s="507"/>
      <c r="L303" s="507"/>
      <c r="M303" s="507"/>
      <c r="N303" s="507"/>
      <c r="O303" s="507"/>
      <c r="P303" s="1"/>
      <c r="T303" s="14"/>
      <c r="U303" s="506" t="s">
        <v>84</v>
      </c>
      <c r="V303" s="506"/>
      <c r="W303" s="506"/>
      <c r="X303" s="506"/>
      <c r="Y303" s="506"/>
      <c r="Z303" s="1"/>
      <c r="AA303" s="14"/>
      <c r="AB303" s="269">
        <f>IF('Mon Entreprise'!K8&gt;=Annexes!O20,IF(AB290&gt;=AB292,AB290,AB292),IF(AB290&gt;=AB291,AB290,AB291))</f>
        <v>0</v>
      </c>
      <c r="AC303" s="1"/>
      <c r="AD303" s="1"/>
      <c r="AE303" s="13"/>
    </row>
    <row r="304" spans="2:31" ht="15.75" hidden="1">
      <c r="B304" s="168"/>
      <c r="C304" s="294"/>
      <c r="D304" s="507"/>
      <c r="E304" s="507"/>
      <c r="F304" s="507"/>
      <c r="G304" s="507"/>
      <c r="H304" s="507"/>
      <c r="I304" s="507"/>
      <c r="J304" s="507"/>
      <c r="K304" s="507"/>
      <c r="L304" s="507"/>
      <c r="M304" s="507"/>
      <c r="N304" s="507"/>
      <c r="O304" s="507"/>
      <c r="P304" s="1"/>
      <c r="T304" s="14"/>
      <c r="U304" s="506" t="s">
        <v>85</v>
      </c>
      <c r="V304" s="506"/>
      <c r="W304" s="506"/>
      <c r="X304" s="506"/>
      <c r="Y304" s="506"/>
      <c r="Z304" s="1"/>
      <c r="AA304" s="14"/>
      <c r="AB304" s="19">
        <f>IF('Mon Entreprise'!K8&gt;=Annexes!O20,IF(AB290&gt;=AB292,AE290,AE292),IF(AB290&gt;=AB291,AE290,AE291))</f>
        <v>0</v>
      </c>
      <c r="AC304" s="1"/>
      <c r="AD304" s="1"/>
      <c r="AE304" s="13"/>
    </row>
    <row r="305" spans="1:31" ht="16.5" hidden="1" thickBot="1">
      <c r="B305" s="103"/>
      <c r="C305" s="274"/>
      <c r="D305" s="60"/>
      <c r="E305" s="274"/>
      <c r="F305" s="274"/>
      <c r="G305" s="274"/>
      <c r="H305" s="274"/>
      <c r="I305" s="274"/>
      <c r="J305" s="274"/>
      <c r="K305" s="274"/>
      <c r="L305" s="274"/>
      <c r="M305" s="274"/>
      <c r="N305" s="274"/>
      <c r="O305" s="274"/>
      <c r="P305" s="1"/>
      <c r="T305" s="14"/>
      <c r="U305" s="1"/>
      <c r="V305" s="1"/>
      <c r="W305" s="1"/>
      <c r="X305" s="1"/>
      <c r="Y305" s="1"/>
      <c r="Z305" s="1"/>
      <c r="AA305" s="1"/>
      <c r="AB305" s="1"/>
      <c r="AC305" s="1"/>
      <c r="AD305" s="1"/>
      <c r="AE305" s="13"/>
    </row>
    <row r="306" spans="1:31" ht="15.75" hidden="1">
      <c r="B306" s="168"/>
      <c r="C306" s="274"/>
      <c r="D306" s="508" t="str">
        <f>IFERROR(IF(AB301="Non","Vous avez débuté votre activité après le 31 Décembre 2020, vous ne pouvez donc pas bénéficier de cette aide",IF(OR(AB317=TRUE,AND(AB304&lt;0.5,AB318=TRUE),(AB304&gt;=0.5)),IF(AB303&gt;Annexes!O5,"Dans votre cas, l'aide est Plafonnée, à "&amp;Annexes!O5&amp;" € pour le mois de Mars","Vous pouvez bénéficier, au titre de cette aide, d'un montant de "&amp;ROUND(AB303,0)&amp;" € pour le mois de Mars"),"L'entreprise n'a pas une perte d'au moins 50 % en Mars 2021 ou n'a pas été en fermeture Administrative")),"Vous n'avez pas indiqué de chiffre d'affaires de référence")</f>
        <v>L'entreprise n'a pas une perte d'au moins 50 % en Mars 2021 ou n'a pas été en fermeture Administrative</v>
      </c>
      <c r="E306" s="509"/>
      <c r="F306" s="509"/>
      <c r="G306" s="509"/>
      <c r="H306" s="509"/>
      <c r="I306" s="509"/>
      <c r="J306" s="509"/>
      <c r="K306" s="509"/>
      <c r="L306" s="509"/>
      <c r="M306" s="509"/>
      <c r="N306" s="509"/>
      <c r="O306" s="510"/>
      <c r="P306" s="1"/>
      <c r="T306" s="14"/>
      <c r="U306" s="1"/>
      <c r="V306" s="1"/>
      <c r="W306" s="1"/>
      <c r="X306" s="1"/>
      <c r="Y306" s="1"/>
      <c r="Z306" s="1"/>
      <c r="AA306" s="1"/>
      <c r="AB306" s="1"/>
      <c r="AC306" s="1"/>
      <c r="AD306" s="1"/>
      <c r="AE306" s="13"/>
    </row>
    <row r="307" spans="1:31" ht="15.75" hidden="1" customHeight="1">
      <c r="B307" s="168"/>
      <c r="C307" s="274"/>
      <c r="D307" s="511"/>
      <c r="E307" s="512"/>
      <c r="F307" s="512"/>
      <c r="G307" s="512"/>
      <c r="H307" s="512"/>
      <c r="I307" s="512"/>
      <c r="J307" s="512"/>
      <c r="K307" s="512"/>
      <c r="L307" s="512"/>
      <c r="M307" s="512"/>
      <c r="N307" s="512"/>
      <c r="O307" s="513"/>
      <c r="P307" s="1"/>
      <c r="T307" s="14"/>
      <c r="U307" s="1"/>
      <c r="V307" s="1"/>
      <c r="W307" s="1"/>
      <c r="X307" s="1"/>
      <c r="Y307" s="1"/>
      <c r="Z307" s="1"/>
      <c r="AA307" s="1"/>
      <c r="AB307" s="1"/>
      <c r="AC307" s="1"/>
      <c r="AD307" s="1"/>
      <c r="AE307" s="13"/>
    </row>
    <row r="308" spans="1:31" ht="15.75" hidden="1" customHeight="1">
      <c r="B308" s="103"/>
      <c r="C308" s="274"/>
      <c r="D308" s="511"/>
      <c r="E308" s="512"/>
      <c r="F308" s="512"/>
      <c r="G308" s="512"/>
      <c r="H308" s="512"/>
      <c r="I308" s="512"/>
      <c r="J308" s="512"/>
      <c r="K308" s="512"/>
      <c r="L308" s="512"/>
      <c r="M308" s="512"/>
      <c r="N308" s="512"/>
      <c r="O308" s="513"/>
      <c r="P308" s="1"/>
      <c r="T308" s="14"/>
      <c r="U308" s="1"/>
      <c r="V308" s="1"/>
      <c r="W308" s="1"/>
      <c r="X308" s="1"/>
      <c r="Y308" s="1"/>
      <c r="Z308" s="1"/>
      <c r="AA308" s="1"/>
      <c r="AB308" s="1"/>
      <c r="AC308" s="1"/>
      <c r="AD308" s="1"/>
      <c r="AE308" s="13"/>
    </row>
    <row r="309" spans="1:31" ht="15.75" hidden="1" customHeight="1" thickBot="1">
      <c r="B309" s="103"/>
      <c r="C309" s="274"/>
      <c r="D309" s="514"/>
      <c r="E309" s="515"/>
      <c r="F309" s="515"/>
      <c r="G309" s="515"/>
      <c r="H309" s="515"/>
      <c r="I309" s="515"/>
      <c r="J309" s="515"/>
      <c r="K309" s="515"/>
      <c r="L309" s="515"/>
      <c r="M309" s="515"/>
      <c r="N309" s="515"/>
      <c r="O309" s="516"/>
      <c r="P309" s="1"/>
      <c r="T309" s="14"/>
      <c r="U309" s="1"/>
      <c r="V309" s="1"/>
      <c r="W309" s="1"/>
      <c r="X309" s="1"/>
      <c r="Y309" s="1"/>
      <c r="Z309" s="1"/>
      <c r="AA309" s="1"/>
      <c r="AB309" s="1"/>
      <c r="AC309" s="1"/>
      <c r="AD309" s="1"/>
      <c r="AE309" s="13"/>
    </row>
    <row r="310" spans="1:31" ht="16.5" hidden="1" customHeight="1">
      <c r="B310" s="103"/>
      <c r="C310" s="169"/>
      <c r="D310" s="517" t="s">
        <v>395</v>
      </c>
      <c r="E310" s="517"/>
      <c r="F310" s="517"/>
      <c r="G310" s="517"/>
      <c r="H310" s="517"/>
      <c r="I310" s="517"/>
      <c r="J310" s="517"/>
      <c r="K310" s="517"/>
      <c r="L310" s="517"/>
      <c r="M310" s="517"/>
      <c r="N310" s="517"/>
      <c r="O310" s="517"/>
      <c r="P310" s="1"/>
      <c r="T310" s="518" t="s">
        <v>4</v>
      </c>
      <c r="U310" s="519"/>
      <c r="V310" s="519"/>
      <c r="W310" s="519"/>
      <c r="X310" s="519"/>
      <c r="Y310" s="519"/>
      <c r="Z310" s="139"/>
      <c r="AA310" s="145"/>
      <c r="AB310" s="194">
        <f>IFERROR(IF('Mon Entreprise'!K8&gt;=Annexes!Q18,0,1-'Mon Entreprise'!M118/2/AB302),0)</f>
        <v>0</v>
      </c>
      <c r="AC310" s="1"/>
      <c r="AD310" s="1"/>
      <c r="AE310" s="13"/>
    </row>
    <row r="311" spans="1:31" ht="16.5" hidden="1" customHeight="1">
      <c r="B311" s="103"/>
      <c r="C311" s="274"/>
      <c r="D311" s="270"/>
      <c r="E311" s="270"/>
      <c r="F311" s="270"/>
      <c r="G311" s="270"/>
      <c r="H311" s="270"/>
      <c r="I311" s="270"/>
      <c r="J311" s="270"/>
      <c r="K311" s="270"/>
      <c r="L311" s="270"/>
      <c r="M311" s="270"/>
      <c r="N311" s="270"/>
      <c r="O311" s="270"/>
      <c r="P311" s="1"/>
      <c r="T311" s="110"/>
      <c r="U311" s="520" t="s">
        <v>102</v>
      </c>
      <c r="V311" s="520"/>
      <c r="W311" s="520"/>
      <c r="X311" s="520"/>
      <c r="Y311" s="520"/>
      <c r="Z311" s="139"/>
      <c r="AA311" s="145"/>
      <c r="AB311" s="194">
        <f>IFERROR(IF('Mon Entreprise'!K8&gt;Annexes!Q29,0,IF('Mon Entreprise'!K8&gt;Annexes!Q26,1,1-'Mon Entreprise'!M114/AB302)),0)</f>
        <v>0</v>
      </c>
      <c r="AC311" s="1"/>
      <c r="AD311" s="1"/>
      <c r="AE311" s="13"/>
    </row>
    <row r="312" spans="1:31" ht="16.5" hidden="1" customHeight="1">
      <c r="B312" s="103"/>
      <c r="C312" s="505" t="s">
        <v>396</v>
      </c>
      <c r="D312" s="505"/>
      <c r="E312" s="505"/>
      <c r="F312" s="505"/>
      <c r="G312" s="505"/>
      <c r="H312" s="505"/>
      <c r="I312" s="505"/>
      <c r="J312" s="505"/>
      <c r="K312" s="505"/>
      <c r="L312" s="505"/>
      <c r="M312" s="505"/>
      <c r="N312" s="505"/>
      <c r="O312" s="505"/>
      <c r="P312" s="1"/>
      <c r="T312" s="110"/>
      <c r="U312" s="520" t="s">
        <v>109</v>
      </c>
      <c r="V312" s="520"/>
      <c r="W312" s="520"/>
      <c r="X312" s="520"/>
      <c r="Y312" s="520"/>
      <c r="Z312" s="139"/>
      <c r="AA312" s="145"/>
      <c r="AB312" s="194">
        <f>IFERROR(IF(Annexes!O27&gt;'Mon Entreprise'!K8,1-'Mon Entreprise'!M98/'Mon Entreprise'!I98,0),0)</f>
        <v>0</v>
      </c>
      <c r="AC312" s="1"/>
      <c r="AD312" s="1"/>
      <c r="AE312" s="13"/>
    </row>
    <row r="313" spans="1:31" ht="16.5" hidden="1" customHeight="1">
      <c r="B313" s="103"/>
      <c r="C313" s="505"/>
      <c r="D313" s="505"/>
      <c r="E313" s="505"/>
      <c r="F313" s="505"/>
      <c r="G313" s="505"/>
      <c r="H313" s="505"/>
      <c r="I313" s="505"/>
      <c r="J313" s="505"/>
      <c r="K313" s="505"/>
      <c r="L313" s="505"/>
      <c r="M313" s="505"/>
      <c r="N313" s="505"/>
      <c r="O313" s="505"/>
      <c r="P313" s="1"/>
      <c r="T313" s="110"/>
      <c r="U313" s="272"/>
      <c r="V313" s="272"/>
      <c r="W313" s="272"/>
      <c r="X313" s="272"/>
      <c r="Y313" s="272"/>
      <c r="Z313" s="139"/>
      <c r="AA313" s="145"/>
      <c r="AB313" s="194"/>
      <c r="AC313" s="1"/>
      <c r="AD313" s="1"/>
      <c r="AE313" s="13"/>
    </row>
    <row r="314" spans="1:31" ht="16.5" hidden="1" customHeight="1">
      <c r="B314" s="103"/>
      <c r="C314" s="505"/>
      <c r="D314" s="505"/>
      <c r="E314" s="505"/>
      <c r="F314" s="505"/>
      <c r="G314" s="505"/>
      <c r="H314" s="505"/>
      <c r="I314" s="505"/>
      <c r="J314" s="505"/>
      <c r="K314" s="505"/>
      <c r="L314" s="505"/>
      <c r="M314" s="505"/>
      <c r="N314" s="505"/>
      <c r="O314" s="505"/>
      <c r="P314" s="1"/>
      <c r="T314" s="14"/>
      <c r="U314" s="521" t="s">
        <v>8</v>
      </c>
      <c r="V314" s="521"/>
      <c r="W314" s="521"/>
      <c r="X314" s="521"/>
      <c r="Y314" s="521"/>
      <c r="Z314" s="1"/>
      <c r="AA314" s="14"/>
      <c r="AB314" s="269" t="str">
        <f>IF((AND(Annexes!F5&gt;1,Annexes!F5&lt;=Annexes!H6)),"OUI","NON")</f>
        <v>NON</v>
      </c>
      <c r="AC314" s="1"/>
      <c r="AD314" s="1"/>
      <c r="AE314" s="13"/>
    </row>
    <row r="315" spans="1:31" ht="16.5" hidden="1" customHeight="1">
      <c r="B315" s="103"/>
      <c r="C315" s="505"/>
      <c r="D315" s="505"/>
      <c r="E315" s="505"/>
      <c r="F315" s="505"/>
      <c r="G315" s="505"/>
      <c r="H315" s="505"/>
      <c r="I315" s="505"/>
      <c r="J315" s="505"/>
      <c r="K315" s="505"/>
      <c r="L315" s="505"/>
      <c r="M315" s="505"/>
      <c r="N315" s="505"/>
      <c r="O315" s="505"/>
      <c r="P315" s="1"/>
      <c r="T315" s="14"/>
      <c r="U315" s="273"/>
      <c r="V315" s="273"/>
      <c r="W315" s="273"/>
      <c r="X315" s="273"/>
      <c r="Y315" s="273" t="s">
        <v>9</v>
      </c>
      <c r="Z315" s="1"/>
      <c r="AA315" s="14"/>
      <c r="AB315" s="269" t="str">
        <f>IF(AND(Annexes!F7&gt;1,Annexes!F7&lt;=Annexes!H8),"OUI","NON")</f>
        <v>NON</v>
      </c>
      <c r="AC315" s="1"/>
      <c r="AD315" s="1"/>
      <c r="AE315" s="13"/>
    </row>
    <row r="316" spans="1:31" ht="16.5" hidden="1" customHeight="1">
      <c r="B316" s="103"/>
      <c r="C316" s="274"/>
      <c r="D316" s="270"/>
      <c r="E316" s="417" t="str">
        <f>IF(AB320="NON","",IF(OR(AB314="OUI",AND(OR(AB316="OUI",AB315="OUI"),OR(AB310&gt;=Annexes!P5,AB311&gt;=Annexes!P5,'Mes Aides'!AB145&gt;=0.1)),AB317=TRUE,AB318=TRUE),"",IF(AND(OR(AB316="OUI",AB315="OUI"),OR(AB310&lt;Annexes!P5,AB311&lt;Annexes!P5,'Mes Aides'!AB198&lt;0.1)),"L'entreprise fait partie des entreprises mentionnées en annexe 2 ou 3 du décret mais n'a pas eu une perte de CA d'au-Moins 80 %, entre le 15/03/2020 et le 15/05/2020 ou Novembre 2020 ou 10 % entre 2019 et 2020","L'entreprise ne fait pas partie des entreprises ayant une fermeture administrative totale ou partielle "&amp;"avec 20 % de perte et ne fait pas partie des activités mentionnées aux annexes 1, 2 et 3 ou dans un centre commercial du décret ayant une perte significative.")))</f>
        <v>L'entreprise ne fait pas partie des entreprises ayant une fermeture administrative totale ou partielle avec 20 % de perte et ne fait pas partie des activités mentionnées aux annexes 1, 2 et 3 ou dans un centre commercial du décret ayant une perte significative.</v>
      </c>
      <c r="F316" s="417"/>
      <c r="G316" s="417"/>
      <c r="H316" s="417"/>
      <c r="I316" s="417"/>
      <c r="J316" s="417"/>
      <c r="K316" s="417"/>
      <c r="L316" s="417"/>
      <c r="M316" s="417"/>
      <c r="N316" s="417"/>
      <c r="O316" s="417"/>
      <c r="P316" s="1"/>
      <c r="T316" s="491" t="s">
        <v>454</v>
      </c>
      <c r="U316" s="490"/>
      <c r="V316" s="490"/>
      <c r="W316" s="490"/>
      <c r="X316" s="490"/>
      <c r="Y316" s="490"/>
      <c r="Z316" s="1"/>
      <c r="AA316" s="14"/>
      <c r="AB316" s="269" t="str">
        <f>IF(OR(Annexes!M17=TRUE,Annexes!M23=TRUE,Annexes!M24=TRUE),"OUI","NON")</f>
        <v>NON</v>
      </c>
      <c r="AC316" s="1"/>
      <c r="AD316" s="1"/>
      <c r="AE316" s="13"/>
    </row>
    <row r="317" spans="1:31" ht="16.5" hidden="1" customHeight="1">
      <c r="B317" s="103"/>
      <c r="C317" s="274"/>
      <c r="D317" s="270"/>
      <c r="E317" s="417"/>
      <c r="F317" s="417"/>
      <c r="G317" s="417"/>
      <c r="H317" s="417"/>
      <c r="I317" s="417"/>
      <c r="J317" s="417"/>
      <c r="K317" s="417"/>
      <c r="L317" s="417"/>
      <c r="M317" s="417"/>
      <c r="N317" s="417"/>
      <c r="O317" s="417"/>
      <c r="P317" s="1"/>
      <c r="T317" s="14"/>
      <c r="U317" s="490" t="s">
        <v>313</v>
      </c>
      <c r="V317" s="490"/>
      <c r="W317" s="490"/>
      <c r="X317" s="490"/>
      <c r="Y317" s="490"/>
      <c r="Z317" s="1"/>
      <c r="AA317" s="14"/>
      <c r="AB317" s="269" t="b">
        <f>IF(Annexes!M26=TRUE,TRUE,FALSE)</f>
        <v>0</v>
      </c>
      <c r="AC317" s="1"/>
      <c r="AD317" s="1"/>
      <c r="AE317" s="13"/>
    </row>
    <row r="318" spans="1:31" ht="16.5" hidden="1" customHeight="1">
      <c r="B318" s="168"/>
      <c r="C318" s="274"/>
      <c r="D318" s="270"/>
      <c r="E318" s="417"/>
      <c r="F318" s="417"/>
      <c r="G318" s="417"/>
      <c r="H318" s="417"/>
      <c r="I318" s="417"/>
      <c r="J318" s="417"/>
      <c r="K318" s="417"/>
      <c r="L318" s="417"/>
      <c r="M318" s="417"/>
      <c r="N318" s="417"/>
      <c r="O318" s="417"/>
      <c r="P318" s="1"/>
      <c r="T318" s="14"/>
      <c r="U318" s="490" t="s">
        <v>394</v>
      </c>
      <c r="V318" s="490"/>
      <c r="W318" s="490"/>
      <c r="X318" s="490"/>
      <c r="Y318" s="490"/>
      <c r="Z318" s="1"/>
      <c r="AA318" s="14"/>
      <c r="AB318" s="291" t="b">
        <f>IF(Annexes!M27=TRUE,TRUE,FALSE)</f>
        <v>0</v>
      </c>
      <c r="AC318" s="1"/>
      <c r="AD318" s="1"/>
      <c r="AE318" s="13"/>
    </row>
    <row r="319" spans="1:31" ht="16.5" hidden="1" customHeight="1">
      <c r="A319" s="99"/>
      <c r="B319" s="103"/>
      <c r="C319" s="274"/>
      <c r="D319" s="523" t="str">
        <f>IFERROR(IF('Mon Entreprise'!K8&gt;=Annexes!O20,IF(AB290&gt;=AB292,"- Le CA de référence est celui de Mars 2019, soit une perte de "&amp;ROUND(AB290,0)&amp;" €"&amp;" ==&gt; "&amp;ROUND(AE290*100,0)&amp;" %","- Le CA de référence est celui de la création, soit une perte de "&amp;ROUND(AB292,0)&amp;" €"&amp;" ==&gt; "&amp;ROUND(AE292*100,0)&amp;" %"),IF(AB290&gt;=AB291,"- Le CA de référence est celui de Mars 2019, soit une perte de "&amp;ROUND(AB290,0)&amp;" €"&amp;" ==&gt; "&amp;ROUND(AE290*100,0)&amp;" %","- Le CA de référence est celui de l'exercice 2019, soit une perte de "&amp;ROUND(AB291,0)&amp;" €"&amp;" ==&gt; "&amp;ROUND(AE291*100,0)&amp;" %")),"")</f>
        <v>- Le CA de référence est celui de Mars 2019, soit une perte de 0 € ==&gt; 0 %</v>
      </c>
      <c r="E319" s="523"/>
      <c r="F319" s="523"/>
      <c r="G319" s="523"/>
      <c r="H319" s="523"/>
      <c r="I319" s="523"/>
      <c r="J319" s="523"/>
      <c r="K319" s="523"/>
      <c r="L319" s="523"/>
      <c r="M319" s="523"/>
      <c r="N319" s="523"/>
      <c r="O319" s="523"/>
      <c r="P319" s="1"/>
      <c r="T319" s="14"/>
      <c r="U319" s="291"/>
      <c r="V319" s="291"/>
      <c r="W319" s="291"/>
      <c r="X319" s="291"/>
      <c r="Y319" s="291"/>
      <c r="Z319" s="1"/>
      <c r="AA319" s="14"/>
      <c r="AB319" s="291"/>
      <c r="AC319" s="1"/>
      <c r="AD319" s="1"/>
      <c r="AE319" s="13"/>
    </row>
    <row r="320" spans="1:31" ht="16.5" hidden="1" customHeight="1">
      <c r="A320" s="99"/>
      <c r="B320" s="103"/>
      <c r="C320" s="294"/>
      <c r="D320" s="524" t="str">
        <f>IFERROR(IF('Mon Entreprise'!K8&gt;=Annexes!O20,"",IF(AB290&lt;AB291,"A noter qu'il convient de choisir l'option retenue par l'entreprise lors de sa demande au titre du mois Février 2021, si le CA de référence était celui de février 2019, il convient de prendre celui de Mars 2019, soit "&amp;ROUND(AB290,0)&amp;" €"&amp;" ==&gt; "&amp;ROUND(AE290*100,0)&amp;" %","A noter qu'il convient de choisir l'option retenue par l'entreprise lors de sa demande au titre du mois Février 2021, si le CA de référence était celui de l'exercice 2019, il convient de prendre celui de l'exercie 2019, soit une perte de "&amp;ROUND(AB291,0)&amp;" €"&amp;" ==&gt; "&amp;ROUND(AE291*100,0)&amp;" %")),"")</f>
        <v>A noter qu'il convient de choisir l'option retenue par l'entreprise lors de sa demande au titre du mois Février 2021, si le CA de référence était celui de l'exercice 2019, il convient de prendre celui de l'exercie 2019, soit une perte de 0 € ==&gt; 0 %</v>
      </c>
      <c r="E320" s="524"/>
      <c r="F320" s="524"/>
      <c r="G320" s="524"/>
      <c r="H320" s="524"/>
      <c r="I320" s="524"/>
      <c r="J320" s="524"/>
      <c r="K320" s="524"/>
      <c r="L320" s="524"/>
      <c r="M320" s="524"/>
      <c r="N320" s="524"/>
      <c r="O320" s="524"/>
      <c r="P320" s="1"/>
      <c r="T320" s="14"/>
      <c r="U320" s="525" t="s">
        <v>72</v>
      </c>
      <c r="V320" s="525"/>
      <c r="W320" s="525"/>
      <c r="X320" s="525"/>
      <c r="Y320" s="525"/>
      <c r="Z320" s="139"/>
      <c r="AA320" s="145"/>
      <c r="AB320" s="271" t="str">
        <f>IF(AB301="Oui","Oui","Non")</f>
        <v>Oui</v>
      </c>
      <c r="AC320" s="139"/>
      <c r="AD320" s="1"/>
      <c r="AE320" s="13"/>
    </row>
    <row r="321" spans="1:31" ht="16.5" hidden="1" customHeight="1">
      <c r="A321" s="99"/>
      <c r="B321" s="103"/>
      <c r="C321" s="294"/>
      <c r="D321" s="524"/>
      <c r="E321" s="524"/>
      <c r="F321" s="524"/>
      <c r="G321" s="524"/>
      <c r="H321" s="524"/>
      <c r="I321" s="524"/>
      <c r="J321" s="524"/>
      <c r="K321" s="524"/>
      <c r="L321" s="524"/>
      <c r="M321" s="524"/>
      <c r="N321" s="524"/>
      <c r="O321" s="524"/>
      <c r="P321" s="1"/>
      <c r="T321" s="14"/>
      <c r="U321" s="525" t="s">
        <v>84</v>
      </c>
      <c r="V321" s="525"/>
      <c r="W321" s="525"/>
      <c r="X321" s="525"/>
      <c r="Y321" s="525"/>
      <c r="Z321" s="139"/>
      <c r="AA321" s="145"/>
      <c r="AB321" s="271">
        <f>IF('Mon Entreprise'!K8&gt;=Annexes!O20,IF(AB290&gt;=AB292,AB290,AB292),IF(AB290&gt;=AB291,AB290,AB291))</f>
        <v>0</v>
      </c>
      <c r="AC321" s="139"/>
      <c r="AD321" s="1"/>
      <c r="AE321" s="13"/>
    </row>
    <row r="322" spans="1:31" ht="16.5" hidden="1" customHeight="1">
      <c r="B322" s="103"/>
      <c r="C322" s="274"/>
      <c r="D322" s="215" t="str">
        <f>IF(OR(AB314="OUI",AB317=TRUE),"- Sans ticket modérateur",IF(AND(OR(AB316="OUI",AB315="OUI"),OR(AB310&gt;=0.8,AB311&gt;=0.8,AB312&gt;=0.1)),"- La Perte de référence est plafonnée à 80 %, soit "&amp;ROUND(AB325,0)&amp;" €","- Sans ticket modérateur"))</f>
        <v>- Sans ticket modérateur</v>
      </c>
      <c r="E322" s="268"/>
      <c r="F322" s="268"/>
      <c r="G322" s="268"/>
      <c r="H322" s="268"/>
      <c r="I322" s="268"/>
      <c r="J322" s="268"/>
      <c r="K322" s="268"/>
      <c r="L322" s="268"/>
      <c r="M322" s="268"/>
      <c r="N322" s="268"/>
      <c r="O322" s="268"/>
      <c r="P322" s="1"/>
      <c r="T322" s="14"/>
      <c r="U322" s="525" t="s">
        <v>85</v>
      </c>
      <c r="V322" s="525"/>
      <c r="W322" s="525"/>
      <c r="X322" s="525"/>
      <c r="Y322" s="525"/>
      <c r="Z322" s="139"/>
      <c r="AA322" s="145"/>
      <c r="AB322" s="271">
        <f>IF('Mon Entreprise'!K8&gt;=Annexes!O20,IF(AB290&gt;=AB292,AE290,AE292),IF(AB290&gt;=AB291,AE290,AE291))</f>
        <v>0</v>
      </c>
      <c r="AC322" s="139"/>
      <c r="AD322" s="1"/>
      <c r="AE322" s="13"/>
    </row>
    <row r="323" spans="1:31" ht="16.5" hidden="1" customHeight="1" thickBot="1">
      <c r="B323" s="103"/>
      <c r="C323" s="274"/>
      <c r="D323" s="268"/>
      <c r="E323" s="268"/>
      <c r="F323" s="268"/>
      <c r="G323" s="268"/>
      <c r="H323" s="268"/>
      <c r="I323" s="268"/>
      <c r="J323" s="268"/>
      <c r="K323" s="268"/>
      <c r="L323" s="268"/>
      <c r="M323" s="268"/>
      <c r="N323" s="268"/>
      <c r="O323" s="268"/>
      <c r="P323" s="1"/>
      <c r="T323" s="14"/>
      <c r="U323" s="502" t="s">
        <v>74</v>
      </c>
      <c r="V323" s="502"/>
      <c r="W323" s="502"/>
      <c r="X323" s="502"/>
      <c r="Y323" s="502"/>
      <c r="Z323" s="139"/>
      <c r="AA323" s="145"/>
      <c r="AB323" s="271">
        <f>IF(OR(AB314="OUI",AB317=TRUE),1,IF(AND(OR(AB316="OUI",AB315="OUI"),OR(AB310&gt;=0.8,AB311&gt;=0.8,AB312&gt;=0.1)),0.8,1))</f>
        <v>1</v>
      </c>
      <c r="AC323" s="139"/>
      <c r="AD323" s="1"/>
      <c r="AE323" s="13"/>
    </row>
    <row r="324" spans="1:31" ht="16.5" hidden="1" customHeight="1">
      <c r="B324" s="103"/>
      <c r="C324" s="274"/>
      <c r="D324" s="508" t="str">
        <f>IFERROR(IF(AB320="NON","Vous avez débuté votre activité après le 31 Décembre 2020, vous ne pouvez donc pas bénéficier de cette aide",IF(OR(AB317=TRUE,AND(AB318=TRUE,AB322&gt;=0.5)),IF(AB325&gt;Annexes!O6,"Dans votre cas, l'aide est Plafonnée, à "&amp;Annexes!O6&amp;" € pour le mois de Mars","Vous pouvez bénéficier, au titre de cette aide, d'un montant de "&amp;ROUND(AB325,0)&amp;" € pour le mois de Mars"),IF(AB322&gt;=0.5,IF(OR(AB314="OUI",AND(OR(AB316="OUI",AB315="OUI"),OR(AB310&gt;=Annexes!P5,AB311&gt;=Annexes!P5,AB312&gt;=0.1))),IF(AB325&gt;Annexes!O6,"Dans votre cas, l'aide est Plafonnée, à "&amp;Annexes!O6&amp;" € pour le mois de Mars","Vous pouvez bénéficier, au titre de cette aide, d'un montant de "&amp;ROUND(AB325,0)&amp;" € pour le mois de Mars"),IF(AND(OR(AB316="OUI",AB315="OUI"),OR(AB310&lt;Annexes!P5,AB311&lt;Annexes!P5)),"L'entreprise fait partie des entreprises mentionnées en annexe 2 ou 3 ou dans un centre commercial du décret, mais n'a pas eu une perte de CA d'au-Moins 80 % entre le 15/03/2020 et le 15/05/2020 "&amp;"ou au mois de Novembre 2020 ou 10 % de perte entre 2019 et 2020","L'entreprise ne fait pas partie des entreprises"&amp;" ayant une fermeture administrative avec une perte de 20 % de CA et ne fait pas partie des activités mentionnées aux annexes 1, 2 et 3 ou dans un centre commercial du décret")),"L'entreprise n'a pas une perte d'au moins 50 % en Mars 2021"))),"Vous n'avez pas indiqué de chiffre d'affaires de référence")</f>
        <v>L'entreprise n'a pas une perte d'au moins 50 % en Mars 2021</v>
      </c>
      <c r="E324" s="509"/>
      <c r="F324" s="509"/>
      <c r="G324" s="509"/>
      <c r="H324" s="509"/>
      <c r="I324" s="509"/>
      <c r="J324" s="509"/>
      <c r="K324" s="509"/>
      <c r="L324" s="509"/>
      <c r="M324" s="509"/>
      <c r="N324" s="509"/>
      <c r="O324" s="510"/>
      <c r="P324" s="1"/>
      <c r="T324" s="14"/>
      <c r="U324" s="502" t="s">
        <v>80</v>
      </c>
      <c r="V324" s="502"/>
      <c r="W324" s="502"/>
      <c r="X324" s="502"/>
      <c r="Y324" s="502"/>
      <c r="Z324" s="139"/>
      <c r="AA324" s="145"/>
      <c r="AB324" s="271">
        <f>IF('Mon Entreprise'!K8&gt;=Annexes!O20,IF(AB290&gt;=AB292,Y290,Y292),IF(AB290&gt;=AB291,Y290,Y291))</f>
        <v>0</v>
      </c>
      <c r="AC324" s="139"/>
      <c r="AD324" s="1"/>
      <c r="AE324" s="13"/>
    </row>
    <row r="325" spans="1:31" ht="16.5" hidden="1" customHeight="1">
      <c r="B325" s="173"/>
      <c r="C325" s="274"/>
      <c r="D325" s="511"/>
      <c r="E325" s="512"/>
      <c r="F325" s="512"/>
      <c r="G325" s="512"/>
      <c r="H325" s="512"/>
      <c r="I325" s="512"/>
      <c r="J325" s="512"/>
      <c r="K325" s="512"/>
      <c r="L325" s="512"/>
      <c r="M325" s="512"/>
      <c r="N325" s="512"/>
      <c r="O325" s="513"/>
      <c r="P325" s="1"/>
      <c r="T325" s="14"/>
      <c r="U325" s="490" t="s">
        <v>104</v>
      </c>
      <c r="V325" s="490"/>
      <c r="W325" s="490"/>
      <c r="X325" s="490"/>
      <c r="Y325" s="490"/>
      <c r="Z325" s="1"/>
      <c r="AA325" s="14"/>
      <c r="AB325" s="269">
        <f>IF(AB323=1,AB321,IF(AB321*AB323&gt;1500,IF(AB321&gt;1500,AB321*AB323,"Impossible"),IF(AB321&lt;1500,AB321,1500)))</f>
        <v>0</v>
      </c>
      <c r="AC325" s="1"/>
      <c r="AD325" s="1"/>
      <c r="AE325" s="13"/>
    </row>
    <row r="326" spans="1:31" ht="16.5" hidden="1" customHeight="1">
      <c r="B326" s="103"/>
      <c r="C326" s="274"/>
      <c r="D326" s="511"/>
      <c r="E326" s="512"/>
      <c r="F326" s="512"/>
      <c r="G326" s="512"/>
      <c r="H326" s="512"/>
      <c r="I326" s="512"/>
      <c r="J326" s="512"/>
      <c r="K326" s="512"/>
      <c r="L326" s="512"/>
      <c r="M326" s="512"/>
      <c r="N326" s="512"/>
      <c r="O326" s="513"/>
      <c r="P326" s="1"/>
      <c r="T326" s="14"/>
      <c r="U326" s="269"/>
      <c r="V326" s="269"/>
      <c r="W326" s="269"/>
      <c r="X326" s="269"/>
      <c r="Y326" s="269"/>
      <c r="Z326" s="1"/>
      <c r="AA326" s="1"/>
      <c r="AB326" s="1"/>
      <c r="AC326" s="1"/>
      <c r="AD326" s="1"/>
      <c r="AE326" s="13"/>
    </row>
    <row r="327" spans="1:31" ht="16.5" hidden="1" customHeight="1" thickBot="1">
      <c r="B327" s="103"/>
      <c r="C327" s="274"/>
      <c r="D327" s="514"/>
      <c r="E327" s="515"/>
      <c r="F327" s="515"/>
      <c r="G327" s="515"/>
      <c r="H327" s="515"/>
      <c r="I327" s="515"/>
      <c r="J327" s="515"/>
      <c r="K327" s="515"/>
      <c r="L327" s="515"/>
      <c r="M327" s="515"/>
      <c r="N327" s="515"/>
      <c r="O327" s="516"/>
      <c r="P327" s="1"/>
      <c r="T327" s="14"/>
      <c r="U327" s="490"/>
      <c r="V327" s="490"/>
      <c r="W327" s="490"/>
      <c r="X327" s="490"/>
      <c r="Y327" s="490"/>
      <c r="Z327" s="1"/>
      <c r="AA327" s="1"/>
      <c r="AB327" s="1"/>
      <c r="AC327" s="1"/>
      <c r="AD327" s="1"/>
      <c r="AE327" s="13"/>
    </row>
    <row r="328" spans="1:31" ht="16.5" hidden="1" customHeight="1">
      <c r="B328" s="103"/>
      <c r="C328" s="169"/>
      <c r="D328" s="174"/>
      <c r="E328" s="174"/>
      <c r="F328" s="174"/>
      <c r="G328" s="174"/>
      <c r="H328" s="174"/>
      <c r="I328" s="174"/>
      <c r="J328" s="174"/>
      <c r="K328" s="174"/>
      <c r="L328" s="174"/>
      <c r="M328" s="174"/>
      <c r="N328" s="174"/>
      <c r="O328" s="174"/>
      <c r="P328" s="1"/>
      <c r="T328" s="14"/>
      <c r="U328" s="269"/>
      <c r="V328" s="269"/>
      <c r="W328" s="269"/>
      <c r="X328" s="269"/>
      <c r="Y328" s="269"/>
      <c r="Z328" s="1"/>
      <c r="AA328" s="1"/>
      <c r="AB328" s="1"/>
      <c r="AC328" s="1"/>
      <c r="AD328" s="1"/>
      <c r="AE328" s="13"/>
    </row>
    <row r="329" spans="1:31" ht="16.5" hidden="1" customHeight="1">
      <c r="B329" s="103"/>
      <c r="C329" s="274"/>
      <c r="D329" s="268"/>
      <c r="E329" s="268"/>
      <c r="F329" s="268"/>
      <c r="G329" s="268"/>
      <c r="H329" s="268"/>
      <c r="I329" s="268"/>
      <c r="J329" s="268"/>
      <c r="K329" s="268"/>
      <c r="L329" s="268"/>
      <c r="M329" s="268"/>
      <c r="N329" s="268"/>
      <c r="O329" s="268"/>
      <c r="P329" s="1"/>
      <c r="T329" s="14"/>
      <c r="U329" s="1"/>
      <c r="V329" s="1"/>
      <c r="W329" s="1"/>
      <c r="X329" s="1"/>
      <c r="Y329" s="1"/>
      <c r="Z329" s="1"/>
      <c r="AA329" s="1"/>
      <c r="AB329" s="1"/>
      <c r="AC329" s="1"/>
      <c r="AD329" s="1"/>
      <c r="AE329" s="13"/>
    </row>
    <row r="330" spans="1:31" ht="16.5" hidden="1" customHeight="1">
      <c r="B330" s="103"/>
      <c r="C330" s="529" t="s">
        <v>398</v>
      </c>
      <c r="D330" s="529"/>
      <c r="E330" s="529"/>
      <c r="F330" s="529"/>
      <c r="G330" s="529"/>
      <c r="H330" s="529"/>
      <c r="I330" s="529"/>
      <c r="J330" s="529"/>
      <c r="K330" s="529"/>
      <c r="L330" s="529"/>
      <c r="M330" s="529"/>
      <c r="N330" s="529"/>
      <c r="O330" s="529"/>
      <c r="P330" s="1"/>
      <c r="T330" s="14"/>
      <c r="U330" s="1"/>
      <c r="V330" s="1"/>
      <c r="W330" s="1"/>
      <c r="X330" s="1"/>
      <c r="Y330" s="1"/>
      <c r="Z330" s="1"/>
      <c r="AA330" s="1"/>
      <c r="AB330" s="1"/>
      <c r="AC330" s="1"/>
      <c r="AD330" s="1"/>
      <c r="AE330" s="13"/>
    </row>
    <row r="331" spans="1:31" ht="16.5" hidden="1" customHeight="1">
      <c r="B331" s="103"/>
      <c r="C331" s="529"/>
      <c r="D331" s="529"/>
      <c r="E331" s="529"/>
      <c r="F331" s="529"/>
      <c r="G331" s="529"/>
      <c r="H331" s="529"/>
      <c r="I331" s="529"/>
      <c r="J331" s="529"/>
      <c r="K331" s="529"/>
      <c r="L331" s="529"/>
      <c r="M331" s="529"/>
      <c r="N331" s="529"/>
      <c r="O331" s="529"/>
      <c r="P331" s="1"/>
      <c r="T331" s="14"/>
      <c r="U331" s="1"/>
      <c r="V331" s="1"/>
      <c r="W331" s="1"/>
      <c r="X331" s="1"/>
      <c r="Y331" s="1"/>
      <c r="Z331" s="1"/>
      <c r="AA331" s="1"/>
      <c r="AB331" s="1"/>
      <c r="AC331" s="1"/>
      <c r="AD331" s="1"/>
      <c r="AE331" s="13"/>
    </row>
    <row r="332" spans="1:31" ht="16.5" hidden="1" customHeight="1">
      <c r="B332" s="103"/>
      <c r="C332" s="529"/>
      <c r="D332" s="529"/>
      <c r="E332" s="529"/>
      <c r="F332" s="529"/>
      <c r="G332" s="529"/>
      <c r="H332" s="529"/>
      <c r="I332" s="529"/>
      <c r="J332" s="529"/>
      <c r="K332" s="529"/>
      <c r="L332" s="529"/>
      <c r="M332" s="529"/>
      <c r="N332" s="529"/>
      <c r="O332" s="529"/>
      <c r="P332" s="1"/>
      <c r="T332" s="14"/>
      <c r="U332" s="1"/>
      <c r="V332" s="1"/>
      <c r="W332" s="1"/>
      <c r="X332" s="1"/>
      <c r="Y332" s="1"/>
      <c r="Z332" s="1"/>
      <c r="AA332" s="1"/>
      <c r="AB332" s="1"/>
      <c r="AC332" s="1"/>
      <c r="AD332" s="1"/>
      <c r="AE332" s="13"/>
    </row>
    <row r="333" spans="1:31" ht="16.5" hidden="1" customHeight="1">
      <c r="B333" s="173"/>
      <c r="C333" s="529"/>
      <c r="D333" s="529"/>
      <c r="E333" s="529"/>
      <c r="F333" s="529"/>
      <c r="G333" s="529"/>
      <c r="H333" s="529"/>
      <c r="I333" s="529"/>
      <c r="J333" s="529"/>
      <c r="K333" s="529"/>
      <c r="L333" s="529"/>
      <c r="M333" s="529"/>
      <c r="N333" s="529"/>
      <c r="O333" s="529"/>
      <c r="P333" s="1"/>
      <c r="T333" s="14"/>
      <c r="U333" s="1"/>
      <c r="V333" s="1"/>
      <c r="W333" s="1"/>
      <c r="X333" s="1"/>
      <c r="Y333" s="1"/>
      <c r="Z333" s="1"/>
      <c r="AA333" s="1"/>
      <c r="AB333" s="1"/>
      <c r="AC333" s="1"/>
      <c r="AD333" s="1"/>
      <c r="AE333" s="13"/>
    </row>
    <row r="334" spans="1:31" ht="16.5" hidden="1" customHeight="1">
      <c r="B334" s="173"/>
      <c r="C334" s="274"/>
      <c r="D334" s="270"/>
      <c r="E334" s="523" t="str">
        <f>IF(AB320="NON","",IF(OR(AB314="OUI",AND(OR(AB316="OUI",AB315="OUI"),OR(AB310&gt;=Annexes!P5,AB311&gt;=Annexes!P5,'Mes Aides'!AB145&gt;=0.1)),AB317=TRUE,AB318=TRUE),"",IF(AND(OR(AB316="OUI",AB315="OUI"),OR(AB310&lt;Annexes!P5,AB311&lt;Annexes!P5,'Mes Aides'!AB145&lt;0.1)),"L'entreprise fait partie des entreprises mentionnées en annexe 2 ou 3 ou dans un centre commercial du décret mais n'a pas eu une perte de CA d'au-Moins 80 %, entre le 15/03/2020 et le 15/05/2020 ou Novembre 2020 ou 10 % entre 2019 et 2020","L'entreprise ne fait pas partie des entreprises ayant une fermeture administrative totale ou partielle sur le mois avec une perte de 20 % de CA et ne fait pas partie des activités mentionnées aux annexes 1, 2 et 3 ou dans un centre commercial du décret.")))</f>
        <v>L'entreprise ne fait pas partie des entreprises ayant une fermeture administrative totale ou partielle sur le mois avec une perte de 20 % de CA et ne fait pas partie des activités mentionnées aux annexes 1, 2 et 3 ou dans un centre commercial du décret.</v>
      </c>
      <c r="F334" s="523"/>
      <c r="G334" s="523"/>
      <c r="H334" s="523"/>
      <c r="I334" s="523"/>
      <c r="J334" s="523"/>
      <c r="K334" s="523"/>
      <c r="L334" s="523"/>
      <c r="M334" s="523"/>
      <c r="N334" s="523"/>
      <c r="O334" s="523"/>
      <c r="P334" s="1"/>
      <c r="T334" s="14"/>
      <c r="U334" s="502" t="s">
        <v>82</v>
      </c>
      <c r="V334" s="502"/>
      <c r="W334" s="502"/>
      <c r="X334" s="502"/>
      <c r="Y334" s="502"/>
      <c r="Z334" s="68"/>
      <c r="AA334" s="1"/>
      <c r="AB334" s="1">
        <f>IFERROR(IF(AB301="Non",0,IF(OR(AND(AB304&lt;0.5,AB318=TRUE),(AB304&gt;=0.5)),IF(AB303&gt;Annexes!O5,Annexes!O5,ROUND(AB303,0)),0)),0)</f>
        <v>0</v>
      </c>
      <c r="AC334" s="1"/>
      <c r="AD334" s="1"/>
      <c r="AE334" s="13"/>
    </row>
    <row r="335" spans="1:31" ht="15" hidden="1" customHeight="1">
      <c r="B335" s="173"/>
      <c r="C335" s="274"/>
      <c r="D335" s="270"/>
      <c r="E335" s="523"/>
      <c r="F335" s="523"/>
      <c r="G335" s="523"/>
      <c r="H335" s="523"/>
      <c r="I335" s="523"/>
      <c r="J335" s="523"/>
      <c r="K335" s="523"/>
      <c r="L335" s="523"/>
      <c r="M335" s="523"/>
      <c r="N335" s="523"/>
      <c r="O335" s="523"/>
      <c r="P335" s="1"/>
      <c r="T335" s="14"/>
      <c r="U335" s="502" t="s">
        <v>81</v>
      </c>
      <c r="V335" s="502"/>
      <c r="W335" s="502"/>
      <c r="X335" s="502"/>
      <c r="Y335" s="502"/>
      <c r="Z335" s="68"/>
      <c r="AA335" s="1"/>
      <c r="AB335" s="1">
        <f>IFERROR(IF(AB320="NON",0,IF(OR(AB317=TRUE,AND(AB318=TRUE,AB322&gt;=0.5)),IF(AB325&gt;Annexes!O6,Annexes!O6,ROUND(AB325,0)),IF(AB322&gt;=0.5,IF(OR(AB314="OUI",AND(OR(AB316="OUI",AB315="OUI"),OR(AB310&gt;=Annexes!P5,AB311&gt;=Annexes!P5,AB312&gt;=0.1))),IF(AB325&gt;Annexes!O6,Annexes!O6,ROUND(AB325,0)),IF(AND(OR(AB316="OUI",AB315="OUI"),OR(AB310&lt;Annexes!P5,AB311&lt;Annexes!P5)),0,0)),0))),0)</f>
        <v>0</v>
      </c>
      <c r="AC335" s="1"/>
      <c r="AD335" s="1"/>
      <c r="AE335" s="13"/>
    </row>
    <row r="336" spans="1:31" ht="15" hidden="1" customHeight="1">
      <c r="B336" s="173"/>
      <c r="C336" s="274"/>
      <c r="D336" s="270"/>
      <c r="E336" s="523"/>
      <c r="F336" s="523"/>
      <c r="G336" s="523"/>
      <c r="H336" s="523"/>
      <c r="I336" s="523"/>
      <c r="J336" s="523"/>
      <c r="K336" s="523"/>
      <c r="L336" s="523"/>
      <c r="M336" s="523"/>
      <c r="N336" s="523"/>
      <c r="O336" s="523"/>
      <c r="P336" s="1"/>
      <c r="T336" s="14"/>
      <c r="U336" s="502" t="s">
        <v>399</v>
      </c>
      <c r="V336" s="502"/>
      <c r="W336" s="502"/>
      <c r="X336" s="502"/>
      <c r="Y336" s="502"/>
      <c r="Z336" s="68"/>
      <c r="AA336" s="1"/>
      <c r="AB336" s="1">
        <f>IFERROR(IF(AB320="NON",0,IF(OR(AB317=TRUE,AND(AB318=TRUE,AB322&gt;=0.5)),IF(AB324=0,0,IF(AB321&lt;AB324*0.2,ROUND(AB321,0),IF(AB324*0.2&gt;=200000,Annexes!O8,ROUND(AB324*0.2,0)))),IF(OR(AB314="OUI",AND(AB315="OUI",OR(AB310&gt;=0.8,AB311&gt;=0.8,AB312&gt;=0.1))),IF(AB322&gt;=0.7,IF(AB321&lt;AB324*0.2,ROUND(AB321,0),IF(AB324*0.2&gt;=200000,Annexes!O8,ROUND(AB324*0.2,0))),IF(AB322&gt;=0.5,IF(AB321&lt;AB324*0.15,ROUND(AB321,0),IF(AB324*0.15&gt;=200000,Annexes!O8,ROUND(AB324*0.15,0))),IF(AND(AB316="OUI",OR(AB310&gt;=0.8,AB311&gt;=0.8,AB312&gt;=0.1),AB322&gt;=0.7),IF(AB321&lt;AB324*0.2,ROUND(AB321,0),IF(AB324*0.2&gt;=200000,Annexes!O8,ROUND(AB324*0.2,0))),0))),IF(AND(AB316="OUI",OR(AB310&gt;=0.8,AB311&gt;=0.8,AB312&gt;=0.1),AB322&gt;=0.7),IF(AB321&lt;AB324*0.2,ROUND(AB321,0),IF(AB324*0.2&gt;=200000,Annexes!O8,ROUND(AB324*0.2,0))),0)))),0)</f>
        <v>0</v>
      </c>
      <c r="AC336" s="1"/>
      <c r="AD336" s="1"/>
      <c r="AE336" s="13"/>
    </row>
    <row r="337" spans="2:31" ht="16.5" hidden="1" customHeight="1">
      <c r="B337" s="173"/>
      <c r="C337" s="274"/>
      <c r="D337" s="417" t="str">
        <f>IFERROR(IF('Mon Entreprise'!K8&gt;=Annexes!O20,IF(AB290&gt;=AB292,"- Le CA de référence est celui de Mars 2019, soit une perte de "&amp;ROUND(AB290,0)&amp;" €"&amp;" ==&gt; "&amp;ROUND(AE290*100,0)&amp;" %","- Le CA de référence est celui de la création, soit une perte de "&amp;ROUND(AB292,0)&amp;" €"&amp;" ==&gt; "&amp;ROUND(AE292*100,0)&amp;" %"),IF(AB290&gt;=AB291,"- Le CA de référence est celui de Mars 2019, soit une perte de "&amp;ROUND(AB290,0)&amp;" €"&amp;" ==&gt; "&amp;ROUND(AE290*100,0)&amp;" %","- Le CA de référence est celui de l'exercice 2019, soit une perte de "&amp;ROUND(AB291,0)&amp;" €"&amp;" ==&gt; "&amp;ROUND(AE291*100,0)&amp;" %")),"")</f>
        <v>- Le CA de référence est celui de Mars 2019, soit une perte de 0 € ==&gt; 0 %</v>
      </c>
      <c r="E337" s="417"/>
      <c r="F337" s="417"/>
      <c r="G337" s="417"/>
      <c r="H337" s="417"/>
      <c r="I337" s="417"/>
      <c r="J337" s="417"/>
      <c r="K337" s="417"/>
      <c r="L337" s="417"/>
      <c r="M337" s="417"/>
      <c r="N337" s="417"/>
      <c r="O337" s="417"/>
      <c r="P337" s="268"/>
      <c r="Q337" s="268"/>
      <c r="T337" s="14"/>
      <c r="U337" s="1"/>
      <c r="V337" s="1"/>
      <c r="W337" s="1"/>
      <c r="X337" s="1"/>
      <c r="Y337" s="1"/>
      <c r="Z337" s="1"/>
      <c r="AA337" s="1"/>
      <c r="AB337" s="1"/>
      <c r="AC337" s="1"/>
      <c r="AD337" s="1"/>
      <c r="AE337" s="13"/>
    </row>
    <row r="338" spans="2:31" ht="16.5" hidden="1" customHeight="1">
      <c r="B338" s="173"/>
      <c r="C338" s="294"/>
      <c r="D338" s="524" t="str">
        <f>IFERROR(IF('Mon Entreprise'!K8&gt;=Annexes!O20,"",IF(AB290&lt;AB291,"A noter qu'il convient de choisir l'option retenue par l'entreprise lors de sa demande au titre du mois Février 2021, si le CA de référence était celui de février 2019, il convient de prendre celui de Mars 2019, soit "&amp;ROUND(AB290,0)&amp;" €"&amp;" ==&gt; "&amp;ROUND(AE290*100,0)&amp;" %","A noter qu'il convient de choisir l'option retenue par l'entreprise lors de sa demande au titre du mois Février 2021, si le CA de référence était celui de l'exercice 2019, il convient de prendre celui de l'exercie 2019, soit une perte de "&amp;ROUND(AB291,0)&amp;" €"&amp;" ==&gt; "&amp;ROUND(AE291*100,0)&amp;" %")),"")</f>
        <v>A noter qu'il convient de choisir l'option retenue par l'entreprise lors de sa demande au titre du mois Février 2021, si le CA de référence était celui de l'exercice 2019, il convient de prendre celui de l'exercie 2019, soit une perte de 0 € ==&gt; 0 %</v>
      </c>
      <c r="E338" s="524"/>
      <c r="F338" s="524"/>
      <c r="G338" s="524"/>
      <c r="H338" s="524"/>
      <c r="I338" s="524"/>
      <c r="J338" s="524"/>
      <c r="K338" s="524"/>
      <c r="L338" s="524"/>
      <c r="M338" s="524"/>
      <c r="N338" s="524"/>
      <c r="O338" s="524"/>
      <c r="P338" s="287"/>
      <c r="Q338" s="287"/>
      <c r="T338" s="14"/>
      <c r="U338" s="1"/>
      <c r="V338" s="1"/>
      <c r="W338" s="1"/>
      <c r="X338" s="1"/>
      <c r="Y338" s="1"/>
      <c r="Z338" s="1"/>
      <c r="AA338" s="1"/>
      <c r="AB338" s="1"/>
      <c r="AC338" s="1"/>
      <c r="AD338" s="1"/>
      <c r="AE338" s="13"/>
    </row>
    <row r="339" spans="2:31" ht="16.5" hidden="1" customHeight="1">
      <c r="B339" s="173"/>
      <c r="C339" s="294"/>
      <c r="D339" s="524"/>
      <c r="E339" s="524"/>
      <c r="F339" s="524"/>
      <c r="G339" s="524"/>
      <c r="H339" s="524"/>
      <c r="I339" s="524"/>
      <c r="J339" s="524"/>
      <c r="K339" s="524"/>
      <c r="L339" s="524"/>
      <c r="M339" s="524"/>
      <c r="N339" s="524"/>
      <c r="O339" s="524"/>
      <c r="P339" s="287"/>
      <c r="Q339" s="287"/>
      <c r="T339" s="14"/>
      <c r="U339" s="1"/>
      <c r="V339" s="1"/>
      <c r="W339" s="1"/>
      <c r="X339" s="1"/>
      <c r="Y339" s="1"/>
      <c r="Z339" s="1"/>
      <c r="AA339" s="1"/>
      <c r="AB339" s="1"/>
      <c r="AC339" s="1"/>
      <c r="AD339" s="1"/>
      <c r="AE339" s="13"/>
    </row>
    <row r="340" spans="2:31" ht="16.5" hidden="1" customHeight="1">
      <c r="B340" s="103"/>
      <c r="C340" s="274"/>
      <c r="D340" s="523" t="str">
        <f>IF(OR(AB317=TRUE,AND(AB318=TRUE,AB322&gt;=0.5)),"- L'entreprise peut bénéficier d'une aide de 20 % du CA de référence, plafonnée à 200 000 €",IF(OR(AB314="OUI",AND(AB315="OUI",OR(AB310&gt;=0.8,AB311&gt;=0.8,AB312&gt;=0.1))),IF(AB322&gt;=0.7,"- L'entreprise peut bénéficier d'une aide de 20 % du CA de référence, plafonnée à 200 000 €",IF(AB322&gt;=0.5,"- L'entreprise peut bénéficier d'une aide de 15 % du CA de référence, plafonnée à 200 000 €","- L'entreprise n'a subi ni de fermeture administrative avec une perte de 20 % de CA au mois de Mars, ni de perte d'au moins 50 % de son CA")),IF(AND(AB316="OUI",OR(AB310&gt;=0.8,AB311&gt;=0.8,AB312&gt;=0.1),AB322&gt;=0.5),"- L'entreprise peut bénéficier d'une aide de 20 % du CA de référence, plafonnée à 200 000 €","- L'entreprise ne fait ni partie des fermetures administratives avec une perte de 20 % du CA au mois de Mars, ni des activités mentionnées en annexe 1 (S1) ou en annexe 2 (S1 bis) ou Annexe 3 ou dans un centre commercial ayant une perte significative")))</f>
        <v>- L'entreprise ne fait ni partie des fermetures administratives avec une perte de 20 % du CA au mois de Mars, ni des activités mentionnées en annexe 1 (S1) ou en annexe 2 (S1 bis) ou Annexe 3 ou dans un centre commercial ayant une perte significative</v>
      </c>
      <c r="E340" s="523"/>
      <c r="F340" s="523"/>
      <c r="G340" s="523"/>
      <c r="H340" s="523"/>
      <c r="I340" s="523"/>
      <c r="J340" s="523"/>
      <c r="K340" s="523"/>
      <c r="L340" s="523"/>
      <c r="M340" s="523"/>
      <c r="N340" s="523"/>
      <c r="O340" s="523"/>
      <c r="P340" s="268"/>
      <c r="Q340" s="268"/>
      <c r="T340" s="14"/>
      <c r="U340" s="1"/>
      <c r="V340" s="1"/>
      <c r="W340" s="1"/>
      <c r="X340" s="1"/>
      <c r="Y340" s="1"/>
      <c r="Z340" s="1"/>
      <c r="AA340" s="1"/>
      <c r="AB340" s="1"/>
      <c r="AC340" s="1"/>
      <c r="AD340" s="1"/>
      <c r="AE340" s="13"/>
    </row>
    <row r="341" spans="2:31" ht="16.5" hidden="1" customHeight="1">
      <c r="B341" s="168"/>
      <c r="C341" s="274"/>
      <c r="D341" s="523"/>
      <c r="E341" s="523"/>
      <c r="F341" s="523"/>
      <c r="G341" s="523"/>
      <c r="H341" s="523"/>
      <c r="I341" s="523"/>
      <c r="J341" s="523"/>
      <c r="K341" s="523"/>
      <c r="L341" s="523"/>
      <c r="M341" s="523"/>
      <c r="N341" s="523"/>
      <c r="O341" s="523"/>
      <c r="P341" s="268"/>
      <c r="Q341" s="268"/>
      <c r="T341" s="14"/>
      <c r="U341" s="1"/>
      <c r="V341" s="1"/>
      <c r="W341" s="1"/>
      <c r="X341" s="1"/>
      <c r="Y341" s="1"/>
      <c r="Z341" s="1"/>
      <c r="AA341" s="1"/>
      <c r="AB341" s="1"/>
      <c r="AC341" s="1"/>
      <c r="AD341" s="1"/>
      <c r="AE341" s="13"/>
    </row>
    <row r="342" spans="2:31" ht="16.5" hidden="1" customHeight="1" thickBot="1">
      <c r="B342" s="168"/>
      <c r="C342" s="274"/>
      <c r="D342" s="205"/>
      <c r="E342" s="268"/>
      <c r="F342" s="268"/>
      <c r="G342" s="268"/>
      <c r="H342" s="268"/>
      <c r="I342" s="268"/>
      <c r="J342" s="268"/>
      <c r="K342" s="268"/>
      <c r="L342" s="268"/>
      <c r="M342" s="268"/>
      <c r="N342" s="268"/>
      <c r="O342" s="268"/>
      <c r="P342" s="268"/>
      <c r="Q342" s="268"/>
      <c r="T342" s="14"/>
      <c r="U342" s="1"/>
      <c r="V342" s="1"/>
      <c r="W342" s="1"/>
      <c r="X342" s="1"/>
      <c r="Y342" s="1"/>
      <c r="Z342" s="1"/>
      <c r="AA342" s="1"/>
      <c r="AB342" s="1"/>
      <c r="AC342" s="1"/>
      <c r="AD342" s="1"/>
      <c r="AE342" s="13"/>
    </row>
    <row r="343" spans="2:31" ht="16.5" hidden="1" customHeight="1">
      <c r="B343" s="103"/>
      <c r="C343" s="180"/>
      <c r="D343" s="527" t="str">
        <f>IFERROR(IF(AB320="NON","Vous avez débuté votre activité après le 31 Décembre 2020, vous ne pouvez donc pas bénéficier de cette aide",IF(OR(AB317=TRUE,AND(AB318=TRUE,AB322&gt;=0.5)),IF(AB324=0,"Vous n'avez pas indiqué de chiffre d'affaires de référence",IF(AB321&lt;AB324*0.2,"Dans votre cas, la perte est inférieure à 20 % du CA, l'aide est donc plafonnée à la perte, soit "&amp;ROUND(AB321,0)&amp;" € pour le mois de Mars",IF(AB324*0.2&gt;=200000,"Dans votre cas, l'aide est plafonnée, à "&amp;Annexes!O8&amp;" € pour le mois de Mars","Vous pouvez bénéficier, au titre de cette aide, d'un montant de "&amp;ROUND(AB324*0.2,0)&amp;" € pour le mois de Mars"))),IF(OR(AB314="OUI",AND(AB315="OUI",OR(AB310&gt;=0.8,AB311&gt;=0.8,AB312&gt;=0.1))),IF(AB322&gt;=0.7,IF(AB321&lt;AB324*0.2,"Dans votre cas, la perte est inférieure à 20 % du CA, l'aide est donc plafonnée à la perte, soit "&amp;ROUND(AB321,0)&amp;" € pour le mois de Mars",IF(AB324*0.2&gt;=200000,"Dans votre cas, l'aide est plafonnée, à "&amp;Annexes!O8&amp;" € pour le mois de Mars","Vous pouvez bénéficier, au titre de cette aide, d'un montant de "&amp;ROUND(AB324*0.2,0)&amp;" € pour le mois de Mars")),IF(AB322&gt;=0.5,IF(AB321&lt;AB324*0.15,"Dans votre cas, la perte est inférieure à 15 % du CA, l'aide est donc plafonnée à la perte, soit "&amp;ROUND(AB321,0)&amp;" € pour le mois de Mars",IF(AB324*0.15&gt;=200000,"Dans votre cas, l'aide est plafonnée, à "&amp;Annexes!O8&amp;" € pour le mois de Mars","Vous pouvez bénéficier, au titre de cette aide, d'un montant de "&amp;ROUND(AB324*0.15,0)&amp;" € pour le mois de Mars")),IF(AND(AB316="OUI",OR(AB310&gt;=0.8,AB311&gt;=0.8,AB312&gt;=0.1),AB322&gt;=0.7),IF(AB321&lt;AB324*0.2,"Dans votre cas, la perte est inférieure à 20 % du CA, l'aide est donc plafonnée à la perte, soit "&amp;ROUND(AB321,0)&amp;" € pour le mois de Mars",IF(AB324*0.2&gt;=200000,"Dans votre cas, l'aide est plafonnée, à "&amp;Annexes!O8&amp;" € pour le mois de Mars","Vous pouvez bénéficier, au titre de cette aide, d'un montant de "&amp;ROUND(AB324*0.2,0)&amp;" € pour le mois de Mars")),"L'entreprise ne fait ni partie des fermetures administratives au mois de Mars, ni des activités mentionnées en annexe 1 (S1) avec 50 % de perte en Mars ou en annexe 2 (S1 bis) ou 3 ou dans un centre commercial avec 70 % de Perte en Mars"))),IF(AND(AB316="OUI",OR(AB310&gt;=0.8,AB311&gt;=0.8,AB312&gt;=0.1),AB322&gt;=0.7),IF(AB321&lt;AB324*0.2,"Dans votre cas, la perte est inférieure à 20 % du CA, l'aide est donc plafonnée à la perte, soit "&amp;ROUND(AB321,0)&amp;" € pour le mois de Mars",IF(AB324*0.2&gt;=200000,"Dans votre cas, l'aide est plafonnée, à "&amp;Annexes!O8&amp;" € pour le mois de Mars","Vous pouvez bénéficier, au titre de cette aide, d'un montant de "&amp;ROUND(AB324*0.2,0)&amp;" € pour le mois de Mars")),"L'entreprise ne fait ni partie des fermetures administratives avec 20 % de perte au mois de Mars, ni des activités mentionnées en annexe 1 (S1)"&amp;" ou en annexe 2 (S1 bis) avec 50 % de perte en Mars ou 3 ou dans un centre commercial avec 70 % de Perte en Mars")))),"Vous n'avez pas indiqué de chiffre d'affaires de référence")</f>
        <v>L'entreprise ne fait ni partie des fermetures administratives avec 20 % de perte au mois de Mars, ni des activités mentionnées en annexe 1 (S1) ou en annexe 2 (S1 bis) avec 50 % de perte en Mars ou 3 ou dans un centre commercial avec 70 % de Perte en Mars</v>
      </c>
      <c r="E343" s="509"/>
      <c r="F343" s="509"/>
      <c r="G343" s="509"/>
      <c r="H343" s="509"/>
      <c r="I343" s="509"/>
      <c r="J343" s="509"/>
      <c r="K343" s="509"/>
      <c r="L343" s="509"/>
      <c r="M343" s="509"/>
      <c r="N343" s="509"/>
      <c r="O343" s="510"/>
      <c r="P343" s="268"/>
      <c r="Q343" s="268"/>
      <c r="T343" s="14"/>
      <c r="U343" s="1"/>
      <c r="V343" s="1"/>
      <c r="W343" s="1"/>
      <c r="X343" s="1"/>
      <c r="Y343" s="1"/>
      <c r="Z343" s="1"/>
      <c r="AA343" s="1"/>
      <c r="AB343" s="1"/>
      <c r="AC343" s="1"/>
      <c r="AD343" s="1"/>
      <c r="AE343" s="13"/>
    </row>
    <row r="344" spans="2:31" ht="16.5" hidden="1" customHeight="1">
      <c r="B344" s="103"/>
      <c r="C344" s="180"/>
      <c r="D344" s="511"/>
      <c r="E344" s="512"/>
      <c r="F344" s="512"/>
      <c r="G344" s="512"/>
      <c r="H344" s="512"/>
      <c r="I344" s="512"/>
      <c r="J344" s="512"/>
      <c r="K344" s="512"/>
      <c r="L344" s="512"/>
      <c r="M344" s="512"/>
      <c r="N344" s="512"/>
      <c r="O344" s="513"/>
      <c r="P344" s="268"/>
      <c r="Q344" s="268"/>
      <c r="T344" s="14"/>
      <c r="U344" s="1"/>
      <c r="V344" s="1"/>
      <c r="W344" s="1"/>
      <c r="X344" s="1"/>
      <c r="Y344" s="1"/>
      <c r="Z344" s="1"/>
      <c r="AA344" s="1"/>
      <c r="AB344" s="1"/>
      <c r="AC344" s="1"/>
      <c r="AD344" s="1"/>
      <c r="AE344" s="13"/>
    </row>
    <row r="345" spans="2:31" ht="16.5" hidden="1" customHeight="1">
      <c r="B345" s="103"/>
      <c r="C345" s="180"/>
      <c r="D345" s="511"/>
      <c r="E345" s="512"/>
      <c r="F345" s="512"/>
      <c r="G345" s="512"/>
      <c r="H345" s="512"/>
      <c r="I345" s="512"/>
      <c r="J345" s="512"/>
      <c r="K345" s="512"/>
      <c r="L345" s="512"/>
      <c r="M345" s="512"/>
      <c r="N345" s="512"/>
      <c r="O345" s="513"/>
      <c r="P345" s="175"/>
      <c r="Q345" s="175"/>
      <c r="T345" s="14"/>
      <c r="U345" s="1"/>
      <c r="V345" s="1"/>
      <c r="W345" s="1"/>
      <c r="X345" s="1"/>
      <c r="Y345" s="1"/>
      <c r="Z345" s="1"/>
      <c r="AA345" s="1"/>
      <c r="AB345" s="1"/>
      <c r="AC345" s="1"/>
      <c r="AD345" s="1"/>
      <c r="AE345" s="13"/>
    </row>
    <row r="346" spans="2:31" ht="16.5" hidden="1" customHeight="1" thickBot="1">
      <c r="B346" s="103"/>
      <c r="C346" s="180"/>
      <c r="D346" s="514"/>
      <c r="E346" s="515"/>
      <c r="F346" s="515"/>
      <c r="G346" s="515"/>
      <c r="H346" s="515"/>
      <c r="I346" s="515"/>
      <c r="J346" s="515"/>
      <c r="K346" s="515"/>
      <c r="L346" s="515"/>
      <c r="M346" s="515"/>
      <c r="N346" s="515"/>
      <c r="O346" s="516"/>
      <c r="T346" s="14"/>
      <c r="U346" s="1"/>
      <c r="V346" s="1"/>
      <c r="W346" s="1"/>
      <c r="X346" s="1"/>
      <c r="Y346" s="1"/>
      <c r="Z346" s="1"/>
      <c r="AA346" s="1"/>
      <c r="AB346" s="1"/>
      <c r="AC346" s="1"/>
      <c r="AD346" s="1"/>
      <c r="AE346" s="13"/>
    </row>
    <row r="347" spans="2:31" ht="16.5" hidden="1" customHeight="1">
      <c r="B347" s="103"/>
      <c r="C347" s="318"/>
      <c r="D347" s="563" t="str">
        <f>IF(AND(AB318=TRUE,AB317=FALSE,AB303&gt;1500),"L'aide est plafonné à 1 500 €, Si l'entreprise a subi une perte de moins de 50 % sur la période en comprenant le CA réalisé sur les activités de vente à distance avec retrait en magasin ou livraison sont à prendre en compte pour le calcul de la perte","")</f>
        <v/>
      </c>
      <c r="E347" s="563"/>
      <c r="F347" s="563"/>
      <c r="G347" s="563"/>
      <c r="H347" s="563"/>
      <c r="I347" s="563"/>
      <c r="J347" s="563"/>
      <c r="K347" s="563"/>
      <c r="L347" s="563"/>
      <c r="M347" s="563"/>
      <c r="N347" s="563"/>
      <c r="O347" s="563"/>
      <c r="T347" s="14"/>
      <c r="U347" s="1"/>
      <c r="V347" s="1"/>
      <c r="W347" s="1"/>
      <c r="X347" s="1"/>
      <c r="Y347" s="1"/>
      <c r="Z347" s="1"/>
      <c r="AA347" s="1"/>
      <c r="AB347" s="1"/>
      <c r="AC347" s="1"/>
      <c r="AD347" s="1"/>
      <c r="AE347" s="13"/>
    </row>
    <row r="348" spans="2:31" ht="16.5" hidden="1" customHeight="1">
      <c r="B348" s="103"/>
      <c r="C348" s="318"/>
      <c r="D348" s="563"/>
      <c r="E348" s="563"/>
      <c r="F348" s="563"/>
      <c r="G348" s="563"/>
      <c r="H348" s="563"/>
      <c r="I348" s="563"/>
      <c r="J348" s="563"/>
      <c r="K348" s="563"/>
      <c r="L348" s="563"/>
      <c r="M348" s="563"/>
      <c r="N348" s="563"/>
      <c r="O348" s="563"/>
      <c r="T348" s="14"/>
      <c r="U348" s="1"/>
      <c r="V348" s="1"/>
      <c r="W348" s="1"/>
      <c r="X348" s="1"/>
      <c r="Y348" s="1"/>
      <c r="Z348" s="1"/>
      <c r="AA348" s="1"/>
      <c r="AB348" s="1"/>
      <c r="AC348" s="1"/>
      <c r="AD348" s="1"/>
      <c r="AE348" s="13"/>
    </row>
    <row r="349" spans="2:31" ht="16.5" customHeight="1">
      <c r="B349" s="5"/>
      <c r="C349" s="5"/>
      <c r="D349" s="254"/>
      <c r="E349" s="254"/>
      <c r="F349" s="254"/>
      <c r="G349" s="254"/>
      <c r="H349" s="254"/>
      <c r="I349" s="254"/>
      <c r="J349" s="254"/>
      <c r="K349" s="254"/>
      <c r="L349" s="254"/>
      <c r="M349" s="254"/>
      <c r="N349" s="254"/>
      <c r="O349" s="254"/>
      <c r="P349" s="177"/>
      <c r="Q349" s="177"/>
      <c r="T349" s="14"/>
      <c r="U349" s="1"/>
      <c r="V349" s="1"/>
      <c r="W349" s="1"/>
      <c r="X349" s="1"/>
      <c r="Y349" s="1"/>
      <c r="Z349" s="1"/>
      <c r="AA349" s="1"/>
      <c r="AB349" s="1"/>
      <c r="AC349" s="1"/>
      <c r="AD349" s="1"/>
      <c r="AE349" s="13"/>
    </row>
    <row r="350" spans="2:31" ht="16.5" thickBot="1">
      <c r="B350" s="220"/>
      <c r="C350" s="488" t="s">
        <v>434</v>
      </c>
      <c r="D350" s="488"/>
      <c r="E350" s="488"/>
      <c r="F350" s="488"/>
      <c r="G350" s="488"/>
      <c r="H350" s="488"/>
      <c r="I350" s="221"/>
      <c r="J350" s="221"/>
      <c r="K350" s="221"/>
      <c r="L350" s="221"/>
      <c r="M350" s="221"/>
      <c r="N350" s="221"/>
      <c r="O350" s="221"/>
      <c r="T350" s="16"/>
      <c r="U350" s="11"/>
      <c r="V350" s="11"/>
      <c r="W350" s="11"/>
      <c r="X350" s="11"/>
      <c r="Y350" s="11"/>
      <c r="Z350" s="11"/>
      <c r="AA350" s="11"/>
      <c r="AB350" s="11"/>
      <c r="AC350" s="11"/>
      <c r="AD350" s="11"/>
      <c r="AE350" s="12"/>
    </row>
    <row r="351" spans="2:31" ht="15" customHeight="1">
      <c r="B351" s="63"/>
      <c r="C351" s="24"/>
      <c r="D351" s="24"/>
      <c r="E351" s="24"/>
      <c r="F351" s="24"/>
      <c r="G351" s="24"/>
      <c r="H351" s="63"/>
      <c r="I351" s="1"/>
      <c r="J351" s="1"/>
      <c r="K351" s="1"/>
      <c r="L351" s="1"/>
      <c r="M351" s="1"/>
      <c r="N351" s="1"/>
      <c r="O351" s="1"/>
      <c r="T351" s="14"/>
      <c r="U351" s="1"/>
      <c r="V351" s="1"/>
      <c r="W351" s="1"/>
      <c r="X351" s="1"/>
      <c r="Y351" s="1"/>
      <c r="Z351" s="1"/>
      <c r="AA351" s="1"/>
      <c r="AB351" s="1"/>
      <c r="AC351" s="1"/>
      <c r="AD351" s="1"/>
      <c r="AE351" s="13"/>
    </row>
    <row r="352" spans="2:31" ht="15" customHeight="1">
      <c r="B352" s="103"/>
      <c r="C352" s="489" t="s">
        <v>441</v>
      </c>
      <c r="D352" s="489"/>
      <c r="E352" s="489"/>
      <c r="F352" s="489"/>
      <c r="G352" s="489"/>
      <c r="H352" s="489"/>
      <c r="I352" s="489"/>
      <c r="J352" s="489"/>
      <c r="K352" s="489"/>
      <c r="L352" s="489"/>
      <c r="M352" s="489"/>
      <c r="N352" s="489"/>
      <c r="O352" s="489"/>
      <c r="P352" s="1"/>
      <c r="T352" s="25"/>
      <c r="U352" s="490" t="s">
        <v>20</v>
      </c>
      <c r="V352" s="490"/>
      <c r="W352" s="490"/>
      <c r="X352" s="1"/>
      <c r="Y352" s="307" t="s">
        <v>6</v>
      </c>
      <c r="Z352" s="307"/>
      <c r="AA352" s="307"/>
      <c r="AB352" s="307" t="s">
        <v>23</v>
      </c>
      <c r="AC352" s="307"/>
      <c r="AD352" s="307"/>
      <c r="AE352" s="26" t="s">
        <v>24</v>
      </c>
    </row>
    <row r="353" spans="2:31" ht="15.75" customHeight="1">
      <c r="B353" s="103"/>
      <c r="C353" s="301"/>
      <c r="D353" s="60" t="s">
        <v>435</v>
      </c>
      <c r="E353" s="301"/>
      <c r="F353" s="301"/>
      <c r="G353" s="301"/>
      <c r="H353" s="301"/>
      <c r="I353" s="301"/>
      <c r="J353" s="301"/>
      <c r="K353" s="301"/>
      <c r="L353" s="301"/>
      <c r="M353" s="301"/>
      <c r="N353" s="301"/>
      <c r="O353" s="301"/>
      <c r="P353" s="1"/>
      <c r="T353" s="25"/>
      <c r="U353" s="307"/>
      <c r="V353" s="307"/>
      <c r="W353" s="307"/>
      <c r="X353" s="1"/>
      <c r="Y353" s="307"/>
      <c r="Z353" s="307"/>
      <c r="AA353" s="307"/>
      <c r="AB353" s="307"/>
      <c r="AC353" s="307"/>
      <c r="AD353" s="307"/>
      <c r="AE353" s="26"/>
    </row>
    <row r="354" spans="2:31" ht="16.5" thickBot="1">
      <c r="B354" s="103"/>
      <c r="C354" s="301"/>
      <c r="D354" s="60"/>
      <c r="E354" s="301"/>
      <c r="F354" s="301"/>
      <c r="G354" s="301"/>
      <c r="H354" s="301"/>
      <c r="I354" s="301"/>
      <c r="J354" s="301"/>
      <c r="K354" s="301"/>
      <c r="L354" s="301"/>
      <c r="M354" s="301"/>
      <c r="N354" s="301"/>
      <c r="O354" s="301"/>
      <c r="P354" s="1"/>
      <c r="T354" s="491" t="s">
        <v>444</v>
      </c>
      <c r="U354" s="490"/>
      <c r="V354" s="490"/>
      <c r="W354" s="490"/>
      <c r="X354" s="1"/>
      <c r="Y354" s="7">
        <f>'Mon Entreprise'!I128</f>
        <v>0</v>
      </c>
      <c r="Z354" s="133"/>
      <c r="AA354" s="21"/>
      <c r="AB354" s="7">
        <f>IF('Mon Entreprise'!I128-'Mon Entreprise'!M128&lt;0,0,'Mon Entreprise'!I128-'Mon Entreprise'!M128)</f>
        <v>0</v>
      </c>
      <c r="AC354" s="13"/>
      <c r="AD354" s="1"/>
      <c r="AE354" s="27">
        <f>IFERROR(1-'Mon Entreprise'!M128/'Mon Entreprise'!I128,0)</f>
        <v>0</v>
      </c>
    </row>
    <row r="355" spans="2:31" ht="15.75">
      <c r="B355" s="103"/>
      <c r="C355" s="301"/>
      <c r="D355" s="492" t="str">
        <f>IFERROR(IF(AND(AB398=0,AB399=0,AB400=0),"Vous ne pouvez pas bénéficier du fonds de solidarité pour le mois d'Avril 2021",IF(AND(AB400&gt;AB399,AB400&gt;AB398),"Votre entreprise peut bénéficier d'une aide de "&amp;AB400&amp;" €, au titre d'une fermeture Administrative avec une perte de 20 % de CA, ou d'une perte d'au moins 50 % ou 70 % du CA pour les activités mentionnées en annexe 1,"&amp;" ou d'une perte d'au moins 70 % du CA pour les activités mentionnées en annexe 2 ou 3 ou dans un centre commercial, ou domicilié dans certaines îles d'outre-mer",IF(AB399&gt;AB398,"Votre entreprise peut bénéficier d'une aide de "&amp;AB399&amp;" €, au titre d'une fermeture Administrative avec une perte de 20 % du CA, ou d'une perte d'au moins 50 % du CA pour les activités mentionnées en annexe 1,"&amp;" ou en annexe 2 ou 3 ou dans un centre commercial, ou domicilié dans certaines îles d'outre-mer, ayant une perte de CA d'au moins 80 % entre le 15/03/2020 et le 15/05/2020, au mois de Novembre 2020 ou 10 % de perte entre 2019 et 2020","Votre entreprise peut bénéficier d'une aide de "&amp;AB398&amp;" €, au titre d'une perte d'au-moins 50 % de votre CA en Avril 2021"))),"Vous n'avez pas indiqué de chiffre d'affaires de référence")</f>
        <v>Vous ne pouvez pas bénéficier du fonds de solidarité pour le mois d'Avril 2021</v>
      </c>
      <c r="E355" s="493"/>
      <c r="F355" s="493"/>
      <c r="G355" s="493"/>
      <c r="H355" s="493"/>
      <c r="I355" s="493"/>
      <c r="J355" s="493"/>
      <c r="K355" s="493"/>
      <c r="L355" s="493"/>
      <c r="M355" s="493"/>
      <c r="N355" s="493"/>
      <c r="O355" s="494"/>
      <c r="P355" s="1"/>
      <c r="T355" s="491" t="s">
        <v>25</v>
      </c>
      <c r="U355" s="490"/>
      <c r="V355" s="490"/>
      <c r="W355" s="490"/>
      <c r="X355" s="1"/>
      <c r="Y355" s="7">
        <f>'Mon Entreprise'!I98</f>
        <v>0</v>
      </c>
      <c r="Z355" s="133"/>
      <c r="AA355" s="21"/>
      <c r="AB355" s="7">
        <f>IF('Mon Entreprise'!I98-'Mon Entreprise'!M128&lt;0,0,'Mon Entreprise'!I98-'Mon Entreprise'!M128)</f>
        <v>0</v>
      </c>
      <c r="AC355" s="36"/>
      <c r="AD355" s="1"/>
      <c r="AE355" s="27">
        <f>IFERROR(1-'Mon Entreprise'!M128/'Mon Entreprise'!I98,0)</f>
        <v>0</v>
      </c>
    </row>
    <row r="356" spans="2:31" ht="15.75" customHeight="1">
      <c r="B356" s="103"/>
      <c r="C356" s="301"/>
      <c r="D356" s="495"/>
      <c r="E356" s="496"/>
      <c r="F356" s="496"/>
      <c r="G356" s="496"/>
      <c r="H356" s="496"/>
      <c r="I356" s="496"/>
      <c r="J356" s="496"/>
      <c r="K356" s="496"/>
      <c r="L356" s="496"/>
      <c r="M356" s="496"/>
      <c r="N356" s="496"/>
      <c r="O356" s="497"/>
      <c r="P356" s="1"/>
      <c r="T356" s="501" t="s">
        <v>22</v>
      </c>
      <c r="U356" s="502"/>
      <c r="V356" s="502"/>
      <c r="W356" s="502"/>
      <c r="X356" s="139"/>
      <c r="Y356" s="140" t="str">
        <f>IF('Mon Entreprise'!I148="","NC",'Mon Entreprise'!I148)</f>
        <v>NC</v>
      </c>
      <c r="Z356" s="191"/>
      <c r="AA356" s="192"/>
      <c r="AB356" s="143" t="str">
        <f>IFERROR(IF('Mon Entreprise'!I148-'Mon Entreprise'!M128&lt;0,0,'Mon Entreprise'!I148-'Mon Entreprise'!M128),"NC")</f>
        <v>NC</v>
      </c>
      <c r="AC356" s="193"/>
      <c r="AD356" s="139"/>
      <c r="AE356" s="146" t="str">
        <f>IFERROR(1-'Mon Entreprise'!M128/'Mon Entreprise'!I148,"NC")</f>
        <v>NC</v>
      </c>
    </row>
    <row r="357" spans="2:31" ht="15.75" customHeight="1">
      <c r="B357" s="103"/>
      <c r="C357" s="301"/>
      <c r="D357" s="495"/>
      <c r="E357" s="496"/>
      <c r="F357" s="496"/>
      <c r="G357" s="496"/>
      <c r="H357" s="496"/>
      <c r="I357" s="496"/>
      <c r="J357" s="496"/>
      <c r="K357" s="496"/>
      <c r="L357" s="496"/>
      <c r="M357" s="496"/>
      <c r="N357" s="496"/>
      <c r="O357" s="497"/>
      <c r="P357" s="1"/>
      <c r="T357" s="302"/>
      <c r="U357" s="303"/>
      <c r="V357" s="303"/>
      <c r="W357" s="303"/>
      <c r="X357" s="139"/>
      <c r="Y357" s="140"/>
      <c r="Z357" s="141"/>
      <c r="AA357" s="192"/>
      <c r="AB357" s="143"/>
      <c r="AC357" s="303"/>
      <c r="AD357" s="139"/>
      <c r="AE357" s="146"/>
    </row>
    <row r="358" spans="2:31" ht="15.75" customHeight="1">
      <c r="B358" s="103"/>
      <c r="C358" s="301"/>
      <c r="D358" s="495"/>
      <c r="E358" s="496"/>
      <c r="F358" s="496"/>
      <c r="G358" s="496"/>
      <c r="H358" s="496"/>
      <c r="I358" s="496"/>
      <c r="J358" s="496"/>
      <c r="K358" s="496"/>
      <c r="L358" s="496"/>
      <c r="M358" s="496"/>
      <c r="N358" s="496"/>
      <c r="O358" s="497"/>
      <c r="P358" s="1"/>
      <c r="T358" s="14"/>
      <c r="U358" s="1"/>
      <c r="V358" s="1"/>
      <c r="W358" s="1"/>
      <c r="X358" s="1"/>
      <c r="Y358" s="1"/>
      <c r="Z358" s="1"/>
      <c r="AA358" s="1"/>
      <c r="AB358" s="1"/>
      <c r="AC358" s="1"/>
      <c r="AD358" s="1"/>
      <c r="AE358" s="13"/>
    </row>
    <row r="359" spans="2:31" ht="15.75" customHeight="1">
      <c r="B359" s="103"/>
      <c r="C359" s="301"/>
      <c r="D359" s="495"/>
      <c r="E359" s="496"/>
      <c r="F359" s="496"/>
      <c r="G359" s="496"/>
      <c r="H359" s="496"/>
      <c r="I359" s="496"/>
      <c r="J359" s="496"/>
      <c r="K359" s="496"/>
      <c r="L359" s="496"/>
      <c r="M359" s="496"/>
      <c r="N359" s="496"/>
      <c r="O359" s="497"/>
      <c r="P359" s="1"/>
      <c r="T359" s="14"/>
      <c r="AC359" s="1"/>
      <c r="AD359" s="1"/>
      <c r="AE359" s="13"/>
    </row>
    <row r="360" spans="2:31" ht="15.75" customHeight="1" thickBot="1">
      <c r="B360" s="103"/>
      <c r="C360" s="301"/>
      <c r="D360" s="498"/>
      <c r="E360" s="499"/>
      <c r="F360" s="499"/>
      <c r="G360" s="499"/>
      <c r="H360" s="499"/>
      <c r="I360" s="499"/>
      <c r="J360" s="499"/>
      <c r="K360" s="499"/>
      <c r="L360" s="499"/>
      <c r="M360" s="499"/>
      <c r="N360" s="499"/>
      <c r="O360" s="500"/>
      <c r="P360" s="1"/>
      <c r="T360" s="14"/>
      <c r="AC360" s="1"/>
      <c r="AD360" s="1"/>
      <c r="AE360" s="13"/>
    </row>
    <row r="361" spans="2:31" ht="16.5" customHeight="1">
      <c r="B361" s="103"/>
      <c r="C361" s="301"/>
      <c r="D361" s="330" t="s">
        <v>443</v>
      </c>
      <c r="E361" s="301"/>
      <c r="F361" s="301"/>
      <c r="G361" s="301"/>
      <c r="H361" s="301"/>
      <c r="I361" s="301"/>
      <c r="J361" s="301"/>
      <c r="K361" s="301"/>
      <c r="L361" s="301"/>
      <c r="M361" s="301"/>
      <c r="N361" s="301"/>
      <c r="O361" s="301"/>
      <c r="P361" s="1"/>
      <c r="T361" s="14"/>
      <c r="AC361" s="1"/>
      <c r="AD361" s="1"/>
      <c r="AE361" s="13"/>
    </row>
    <row r="362" spans="2:31" ht="15.75" hidden="1">
      <c r="B362" s="103"/>
      <c r="C362" s="78"/>
      <c r="D362" s="78"/>
      <c r="E362" s="78"/>
      <c r="F362" s="78"/>
      <c r="G362" s="78"/>
      <c r="H362" s="78"/>
      <c r="I362" s="78"/>
      <c r="J362" s="78"/>
      <c r="K362" s="78"/>
      <c r="L362" s="78"/>
      <c r="M362" s="78"/>
      <c r="N362" s="78"/>
      <c r="O362" s="78"/>
      <c r="P362" s="1"/>
      <c r="T362" s="14"/>
      <c r="U362" s="1"/>
      <c r="V362" s="1"/>
      <c r="W362" s="1"/>
      <c r="X362" s="1"/>
      <c r="Y362" s="1"/>
      <c r="Z362" s="1"/>
      <c r="AA362" s="1"/>
      <c r="AB362" s="1"/>
      <c r="AC362" s="1"/>
      <c r="AD362" s="1"/>
      <c r="AE362" s="13"/>
    </row>
    <row r="363" spans="2:31" ht="15.75" hidden="1">
      <c r="B363" s="103"/>
      <c r="C363" s="301"/>
      <c r="D363" s="60"/>
      <c r="E363" s="301"/>
      <c r="F363" s="301"/>
      <c r="G363" s="301"/>
      <c r="H363" s="301"/>
      <c r="I363" s="301"/>
      <c r="J363" s="301"/>
      <c r="K363" s="301"/>
      <c r="L363" s="301"/>
      <c r="M363" s="301"/>
      <c r="N363" s="301"/>
      <c r="O363" s="301"/>
      <c r="P363" s="1"/>
      <c r="T363" s="14"/>
      <c r="U363" s="1"/>
      <c r="V363" s="1"/>
      <c r="W363" s="1"/>
      <c r="X363" s="1"/>
      <c r="Y363" s="1"/>
      <c r="Z363" s="1"/>
      <c r="AA363" s="1"/>
      <c r="AB363" s="1"/>
      <c r="AC363" s="1"/>
      <c r="AD363" s="1"/>
      <c r="AE363" s="13"/>
    </row>
    <row r="364" spans="2:31" ht="15.75" hidden="1">
      <c r="B364" s="103"/>
      <c r="C364" s="301" t="s">
        <v>442</v>
      </c>
      <c r="D364" s="60"/>
      <c r="E364" s="301"/>
      <c r="F364" s="301"/>
      <c r="G364" s="301"/>
      <c r="H364" s="301"/>
      <c r="I364" s="301"/>
      <c r="J364" s="301"/>
      <c r="K364" s="301"/>
      <c r="L364" s="301"/>
      <c r="M364" s="301"/>
      <c r="N364" s="301"/>
      <c r="O364" s="301"/>
      <c r="P364" s="1"/>
      <c r="T364" s="14"/>
      <c r="U364" s="1"/>
      <c r="V364" s="1"/>
      <c r="W364" s="1"/>
      <c r="X364" s="1"/>
      <c r="Y364" s="1"/>
      <c r="Z364" s="1"/>
      <c r="AA364" s="1"/>
      <c r="AB364" s="1"/>
      <c r="AC364" s="1"/>
      <c r="AD364" s="1"/>
      <c r="AE364" s="13"/>
    </row>
    <row r="365" spans="2:31" ht="15.75" hidden="1">
      <c r="B365" s="103"/>
      <c r="C365" s="297" t="s">
        <v>436</v>
      </c>
      <c r="D365" s="60"/>
      <c r="E365" s="301"/>
      <c r="F365" s="301"/>
      <c r="G365" s="301"/>
      <c r="H365" s="301"/>
      <c r="I365" s="301"/>
      <c r="J365" s="301"/>
      <c r="K365" s="301"/>
      <c r="L365" s="301"/>
      <c r="M365" s="301"/>
      <c r="N365" s="301"/>
      <c r="O365" s="301"/>
      <c r="P365" s="1"/>
      <c r="T365" s="14"/>
      <c r="U365" s="506" t="s">
        <v>72</v>
      </c>
      <c r="V365" s="506"/>
      <c r="W365" s="506"/>
      <c r="X365" s="506"/>
      <c r="Y365" s="506"/>
      <c r="Z365" s="1"/>
      <c r="AA365" s="14"/>
      <c r="AB365" s="303" t="str">
        <f>IF('Mon Entreprise'!K8&lt;=Annexes!R15,"Oui","Non")</f>
        <v>Oui</v>
      </c>
      <c r="AC365" s="1"/>
      <c r="AD365" s="1"/>
      <c r="AE365" s="13"/>
    </row>
    <row r="366" spans="2:31" ht="15.75" hidden="1">
      <c r="B366" s="168"/>
      <c r="C366" s="301"/>
      <c r="D366" s="60" t="str">
        <f>IFERROR(IF('Mon Entreprise'!K8&gt;=Annexes!O20,IF(AB354&gt;=AB356,"Le CA de référence est celui d'Avril 2019, soit une perte de "&amp;ROUND(AB354,0)&amp;" €"&amp;" ==&gt; "&amp;ROUND(AE354*100,0)&amp;" %","Le CA de référence est celui de la création, soit une perte de "&amp;ROUND(AB356,0)&amp;" €"&amp;" ==&gt; "&amp;ROUND(AE356*100,0)&amp;" %"),IF(AB354&gt;=AB355,"Le CA de référence est celui d'Avril 2019, soit une perte de "&amp;ROUND(AB354,0)&amp;" €"&amp;" ==&gt; "&amp;ROUND(AE354*100,0)&amp;" %","Le CA de référence est celui de l'exercice 2019, soit une perte de "&amp;ROUND(AB355,0)&amp;" €"&amp;" ==&gt; "&amp;ROUND(AE355*100,0)&amp;" %")),"")</f>
        <v>Le CA de référence est celui d'Avril 2019, soit une perte de 0 € ==&gt; 0 %</v>
      </c>
      <c r="E366" s="301"/>
      <c r="F366" s="301"/>
      <c r="G366" s="301"/>
      <c r="H366" s="301"/>
      <c r="I366" s="301"/>
      <c r="J366" s="301"/>
      <c r="K366" s="301"/>
      <c r="L366" s="301"/>
      <c r="M366" s="301"/>
      <c r="N366" s="301"/>
      <c r="O366" s="301"/>
      <c r="P366" s="1"/>
      <c r="T366" s="14"/>
      <c r="U366" s="299"/>
      <c r="V366" s="506" t="s">
        <v>393</v>
      </c>
      <c r="W366" s="506"/>
      <c r="X366" s="506"/>
      <c r="Y366" s="506"/>
      <c r="Z366" s="1"/>
      <c r="AA366" s="14"/>
      <c r="AB366" s="303">
        <f>IF('Mon Entreprise'!K8&gt;=Annexes!O20,IF(Y354&gt;=Y356,Y354,Y356),IF(Y354&gt;=Y355,Y354,Y355))</f>
        <v>0</v>
      </c>
      <c r="AC366" s="1"/>
      <c r="AD366" s="1"/>
      <c r="AE366" s="13"/>
    </row>
    <row r="367" spans="2:31" ht="15.75" hidden="1">
      <c r="B367" s="168"/>
      <c r="C367" s="301"/>
      <c r="D367" s="507" t="str">
        <f>IFERROR(IF('Mon Entreprise'!K8&gt;=Annexes!O20,"",IF(AB354&lt;AB355,"A noter qu'il convient de choisir l'option retenue par l'entreprise lors de sa demande au titre du mois Février 2021, ou a défaut celui du mois de Mars 2021, si le CA de référence était celui de février 2019, il convient de prendre"&amp;" celui d'Avril 2019 (...), soit "&amp;ROUND(AB354,0)&amp;" €"&amp;" ==&gt; "&amp;ROUND(AE354*100,0)&amp;" %","A noter qu'il convient de choisir l'option retenue par l'entreprise lors de sa demande au titre du mois Février 2021, ou "&amp;"a défaut celui du mois de Mars 2021, si le CA de référence était celui de l'exercice 2019, il convient de prendre celui de l'exercie 2019, soit une perte de "&amp;ROUND(AB355,0)&amp;" €"&amp;" ==&gt; "&amp;ROUND(AE355*100,0)&amp;" %")),"")</f>
        <v>A noter qu'il convient de choisir l'option retenue par l'entreprise lors de sa demande au titre du mois Février 2021, ou a défaut celui du mois de Mars 2021, si le CA de référence était celui de l'exercice 2019, il convient de prendre celui de l'exercie 2019, soit une perte de 0 € ==&gt; 0 %</v>
      </c>
      <c r="E367" s="507"/>
      <c r="F367" s="507"/>
      <c r="G367" s="507"/>
      <c r="H367" s="507"/>
      <c r="I367" s="507"/>
      <c r="J367" s="507"/>
      <c r="K367" s="507"/>
      <c r="L367" s="507"/>
      <c r="M367" s="507"/>
      <c r="N367" s="507"/>
      <c r="O367" s="507"/>
      <c r="P367" s="1"/>
      <c r="T367" s="14"/>
      <c r="U367" s="506" t="s">
        <v>84</v>
      </c>
      <c r="V367" s="506"/>
      <c r="W367" s="506"/>
      <c r="X367" s="506"/>
      <c r="Y367" s="506"/>
      <c r="Z367" s="1"/>
      <c r="AA367" s="14"/>
      <c r="AB367" s="300">
        <f>IF('Mon Entreprise'!K8&gt;=Annexes!O20,IF(AB354&gt;=AB356,AB354,AB356),IF(AB354&gt;=AB355,AB354,AB355))</f>
        <v>0</v>
      </c>
      <c r="AC367" s="1"/>
      <c r="AD367" s="1"/>
      <c r="AE367" s="13"/>
    </row>
    <row r="368" spans="2:31" ht="15.75" hidden="1">
      <c r="B368" s="168"/>
      <c r="C368" s="301"/>
      <c r="D368" s="507"/>
      <c r="E368" s="507"/>
      <c r="F368" s="507"/>
      <c r="G368" s="507"/>
      <c r="H368" s="507"/>
      <c r="I368" s="507"/>
      <c r="J368" s="507"/>
      <c r="K368" s="507"/>
      <c r="L368" s="507"/>
      <c r="M368" s="507"/>
      <c r="N368" s="507"/>
      <c r="O368" s="507"/>
      <c r="P368" s="1"/>
      <c r="T368" s="14"/>
      <c r="U368" s="506" t="s">
        <v>85</v>
      </c>
      <c r="V368" s="506"/>
      <c r="W368" s="506"/>
      <c r="X368" s="506"/>
      <c r="Y368" s="506"/>
      <c r="Z368" s="1"/>
      <c r="AA368" s="14"/>
      <c r="AB368" s="19">
        <f>IF('Mon Entreprise'!K8&gt;=Annexes!O20,IF(AB354&gt;=AB356,AE354,AE356),IF(AB354&gt;=AB355,AE354,AE355))</f>
        <v>0</v>
      </c>
      <c r="AC368" s="1"/>
      <c r="AD368" s="1"/>
      <c r="AE368" s="13"/>
    </row>
    <row r="369" spans="1:31" ht="16.5" hidden="1" thickBot="1">
      <c r="B369" s="103"/>
      <c r="C369" s="301"/>
      <c r="D369" s="60"/>
      <c r="E369" s="301"/>
      <c r="F369" s="301"/>
      <c r="G369" s="301"/>
      <c r="H369" s="301"/>
      <c r="I369" s="301"/>
      <c r="J369" s="301"/>
      <c r="K369" s="301"/>
      <c r="L369" s="301"/>
      <c r="M369" s="301"/>
      <c r="N369" s="301"/>
      <c r="O369" s="301"/>
      <c r="P369" s="1"/>
      <c r="T369" s="14"/>
      <c r="U369" s="1"/>
      <c r="V369" s="1"/>
      <c r="W369" s="1"/>
      <c r="X369" s="1"/>
      <c r="Y369" s="1"/>
      <c r="Z369" s="1"/>
      <c r="AA369" s="1"/>
      <c r="AB369" s="1"/>
      <c r="AC369" s="1"/>
      <c r="AD369" s="1"/>
      <c r="AE369" s="13"/>
    </row>
    <row r="370" spans="1:31" ht="15.75" hidden="1">
      <c r="B370" s="168"/>
      <c r="C370" s="301"/>
      <c r="D370" s="508" t="str">
        <f>IFERROR(IF(AB365="Non","Vous avez débuté votre activité après le 31 Janvier 2020, vous ne pouvez donc pas bénéficier de cette aide",IF(OR(AB381=TRUE,AND(AB368&lt;0.5,AB382=TRUE),(AB368&gt;=0.5)),IF(AB367&gt;Annexes!O5,"Dans votre cas, l'aide est Plafonnée, à "&amp;Annexes!O5&amp;" € pour le mois d'Avril","Vous pouvez bénéficier, au titre de cette aide, d'un montant de "&amp;ROUND(AB367,0)&amp;" € pour le mois d'Avril"),"L'entreprise n'a pas une perte d'au moins 50 % en Avril 2021 ou n'a pas été en fermeture Administrative")),"Vous n'avez pas indiqué de chiffre d'affaires de référence")</f>
        <v>L'entreprise n'a pas une perte d'au moins 50 % en Avril 2021 ou n'a pas été en fermeture Administrative</v>
      </c>
      <c r="E370" s="509"/>
      <c r="F370" s="509"/>
      <c r="G370" s="509"/>
      <c r="H370" s="509"/>
      <c r="I370" s="509"/>
      <c r="J370" s="509"/>
      <c r="K370" s="509"/>
      <c r="L370" s="509"/>
      <c r="M370" s="509"/>
      <c r="N370" s="509"/>
      <c r="O370" s="510"/>
      <c r="P370" s="1"/>
      <c r="T370" s="14"/>
      <c r="U370" s="1"/>
      <c r="V370" s="1"/>
      <c r="W370" s="1"/>
      <c r="X370" s="1"/>
      <c r="Y370" s="1"/>
      <c r="Z370" s="1"/>
      <c r="AA370" s="1"/>
      <c r="AB370" s="1"/>
      <c r="AC370" s="1"/>
      <c r="AD370" s="1"/>
      <c r="AE370" s="13"/>
    </row>
    <row r="371" spans="1:31" ht="15.75" hidden="1" customHeight="1">
      <c r="B371" s="168"/>
      <c r="C371" s="301"/>
      <c r="D371" s="511"/>
      <c r="E371" s="512"/>
      <c r="F371" s="512"/>
      <c r="G371" s="512"/>
      <c r="H371" s="512"/>
      <c r="I371" s="512"/>
      <c r="J371" s="512"/>
      <c r="K371" s="512"/>
      <c r="L371" s="512"/>
      <c r="M371" s="512"/>
      <c r="N371" s="512"/>
      <c r="O371" s="513"/>
      <c r="P371" s="1"/>
      <c r="T371" s="14"/>
      <c r="U371" s="1"/>
      <c r="V371" s="1"/>
      <c r="W371" s="1"/>
      <c r="X371" s="1"/>
      <c r="Y371" s="1"/>
      <c r="Z371" s="1"/>
      <c r="AA371" s="1"/>
      <c r="AB371" s="1"/>
      <c r="AC371" s="1"/>
      <c r="AD371" s="1"/>
      <c r="AE371" s="13"/>
    </row>
    <row r="372" spans="1:31" ht="15.75" hidden="1" customHeight="1">
      <c r="B372" s="103"/>
      <c r="C372" s="301"/>
      <c r="D372" s="511"/>
      <c r="E372" s="512"/>
      <c r="F372" s="512"/>
      <c r="G372" s="512"/>
      <c r="H372" s="512"/>
      <c r="I372" s="512"/>
      <c r="J372" s="512"/>
      <c r="K372" s="512"/>
      <c r="L372" s="512"/>
      <c r="M372" s="512"/>
      <c r="N372" s="512"/>
      <c r="O372" s="513"/>
      <c r="P372" s="1"/>
      <c r="T372" s="14"/>
      <c r="U372" s="1"/>
      <c r="V372" s="1"/>
      <c r="W372" s="1"/>
      <c r="X372" s="1"/>
      <c r="Y372" s="1"/>
      <c r="Z372" s="1"/>
      <c r="AA372" s="1"/>
      <c r="AB372" s="1"/>
      <c r="AC372" s="1"/>
      <c r="AD372" s="1"/>
      <c r="AE372" s="13"/>
    </row>
    <row r="373" spans="1:31" ht="15.75" hidden="1" customHeight="1" thickBot="1">
      <c r="B373" s="103"/>
      <c r="C373" s="301"/>
      <c r="D373" s="514"/>
      <c r="E373" s="515"/>
      <c r="F373" s="515"/>
      <c r="G373" s="515"/>
      <c r="H373" s="515"/>
      <c r="I373" s="515"/>
      <c r="J373" s="515"/>
      <c r="K373" s="515"/>
      <c r="L373" s="515"/>
      <c r="M373" s="515"/>
      <c r="N373" s="515"/>
      <c r="O373" s="516"/>
      <c r="P373" s="1"/>
      <c r="T373" s="14"/>
      <c r="U373" s="1"/>
      <c r="V373" s="1"/>
      <c r="W373" s="1"/>
      <c r="X373" s="1"/>
      <c r="Y373" s="1"/>
      <c r="Z373" s="1"/>
      <c r="AA373" s="1"/>
      <c r="AB373" s="1"/>
      <c r="AC373" s="1"/>
      <c r="AD373" s="1"/>
      <c r="AE373" s="13"/>
    </row>
    <row r="374" spans="1:31" ht="16.5" hidden="1" customHeight="1">
      <c r="B374" s="103"/>
      <c r="C374" s="169"/>
      <c r="D374" s="517"/>
      <c r="E374" s="517"/>
      <c r="F374" s="517"/>
      <c r="G374" s="517"/>
      <c r="H374" s="517"/>
      <c r="I374" s="517"/>
      <c r="J374" s="517"/>
      <c r="K374" s="517"/>
      <c r="L374" s="517"/>
      <c r="M374" s="517"/>
      <c r="N374" s="517"/>
      <c r="O374" s="517"/>
      <c r="P374" s="1"/>
      <c r="T374" s="518" t="s">
        <v>4</v>
      </c>
      <c r="U374" s="519"/>
      <c r="V374" s="519"/>
      <c r="W374" s="519"/>
      <c r="X374" s="519"/>
      <c r="Y374" s="519"/>
      <c r="Z374" s="139"/>
      <c r="AA374" s="145"/>
      <c r="AB374" s="194">
        <f>IFERROR(IF('Mon Entreprise'!K8&gt;=Annexes!Q18,0,1-'Mon Entreprise'!M118/2/AB366),0)</f>
        <v>0</v>
      </c>
      <c r="AC374" s="1"/>
      <c r="AD374" s="1"/>
      <c r="AE374" s="13"/>
    </row>
    <row r="375" spans="1:31" ht="16.5" hidden="1" customHeight="1">
      <c r="B375" s="103"/>
      <c r="C375" s="301"/>
      <c r="D375" s="306"/>
      <c r="E375" s="306"/>
      <c r="F375" s="306"/>
      <c r="G375" s="306"/>
      <c r="H375" s="306"/>
      <c r="I375" s="306"/>
      <c r="J375" s="306"/>
      <c r="K375" s="306"/>
      <c r="L375" s="306"/>
      <c r="M375" s="306"/>
      <c r="N375" s="306"/>
      <c r="O375" s="306"/>
      <c r="P375" s="1"/>
      <c r="T375" s="110"/>
      <c r="U375" s="520" t="s">
        <v>102</v>
      </c>
      <c r="V375" s="520"/>
      <c r="W375" s="520"/>
      <c r="X375" s="520"/>
      <c r="Y375" s="520"/>
      <c r="Z375" s="139"/>
      <c r="AA375" s="145"/>
      <c r="AB375" s="194">
        <f>IFERROR(IF('Mon Entreprise'!K8&gt;Annexes!Q29,0,IF('Mon Entreprise'!K8&gt;Annexes!Q26,1,1-'Mon Entreprise'!M114/AB366)),0)</f>
        <v>0</v>
      </c>
      <c r="AC375" s="1"/>
      <c r="AD375" s="1"/>
      <c r="AE375" s="13"/>
    </row>
    <row r="376" spans="1:31" ht="16.5" hidden="1" customHeight="1">
      <c r="B376" s="103"/>
      <c r="C376" s="505" t="s">
        <v>452</v>
      </c>
      <c r="D376" s="505"/>
      <c r="E376" s="505"/>
      <c r="F376" s="505"/>
      <c r="G376" s="505"/>
      <c r="H376" s="505"/>
      <c r="I376" s="505"/>
      <c r="J376" s="505"/>
      <c r="K376" s="505"/>
      <c r="L376" s="505"/>
      <c r="M376" s="505"/>
      <c r="N376" s="505"/>
      <c r="O376" s="505"/>
      <c r="P376" s="1"/>
      <c r="T376" s="110"/>
      <c r="U376" s="520" t="s">
        <v>109</v>
      </c>
      <c r="V376" s="520"/>
      <c r="W376" s="520"/>
      <c r="X376" s="520"/>
      <c r="Y376" s="520"/>
      <c r="Z376" s="139"/>
      <c r="AA376" s="145"/>
      <c r="AB376" s="194">
        <f>IFERROR(IF(Annexes!O27&gt;'Mon Entreprise'!K8,1-'Mon Entreprise'!M98/'Mon Entreprise'!I98,0),0)</f>
        <v>0</v>
      </c>
      <c r="AC376" s="1"/>
      <c r="AD376" s="1"/>
      <c r="AE376" s="13"/>
    </row>
    <row r="377" spans="1:31" ht="16.5" hidden="1" customHeight="1">
      <c r="B377" s="103"/>
      <c r="C377" s="505"/>
      <c r="D377" s="505"/>
      <c r="E377" s="505"/>
      <c r="F377" s="505"/>
      <c r="G377" s="505"/>
      <c r="H377" s="505"/>
      <c r="I377" s="505"/>
      <c r="J377" s="505"/>
      <c r="K377" s="505"/>
      <c r="L377" s="505"/>
      <c r="M377" s="505"/>
      <c r="N377" s="505"/>
      <c r="O377" s="505"/>
      <c r="P377" s="1"/>
      <c r="T377" s="110"/>
      <c r="U377" s="305"/>
      <c r="V377" s="305"/>
      <c r="W377" s="305"/>
      <c r="X377" s="305"/>
      <c r="Y377" s="305"/>
      <c r="Z377" s="139"/>
      <c r="AA377" s="145"/>
      <c r="AB377" s="194"/>
      <c r="AC377" s="1"/>
      <c r="AD377" s="1"/>
      <c r="AE377" s="13"/>
    </row>
    <row r="378" spans="1:31" ht="16.5" hidden="1" customHeight="1">
      <c r="B378" s="103"/>
      <c r="C378" s="505"/>
      <c r="D378" s="505"/>
      <c r="E378" s="505"/>
      <c r="F378" s="505"/>
      <c r="G378" s="505"/>
      <c r="H378" s="505"/>
      <c r="I378" s="505"/>
      <c r="J378" s="505"/>
      <c r="K378" s="505"/>
      <c r="L378" s="505"/>
      <c r="M378" s="505"/>
      <c r="N378" s="505"/>
      <c r="O378" s="505"/>
      <c r="P378" s="1"/>
      <c r="T378" s="14"/>
      <c r="U378" s="521" t="s">
        <v>8</v>
      </c>
      <c r="V378" s="521"/>
      <c r="W378" s="521"/>
      <c r="X378" s="521"/>
      <c r="Y378" s="521"/>
      <c r="Z378" s="1"/>
      <c r="AA378" s="14"/>
      <c r="AB378" s="300" t="str">
        <f>IF((AND(Annexes!F5&gt;1,Annexes!F5&lt;=Annexes!H6)),"OUI","NON")</f>
        <v>NON</v>
      </c>
      <c r="AC378" s="1"/>
      <c r="AD378" s="1"/>
      <c r="AE378" s="13"/>
    </row>
    <row r="379" spans="1:31" ht="16.5" hidden="1" customHeight="1">
      <c r="B379" s="103"/>
      <c r="C379" s="505"/>
      <c r="D379" s="505"/>
      <c r="E379" s="505"/>
      <c r="F379" s="505"/>
      <c r="G379" s="505"/>
      <c r="H379" s="505"/>
      <c r="I379" s="505"/>
      <c r="J379" s="505"/>
      <c r="K379" s="505"/>
      <c r="L379" s="505"/>
      <c r="M379" s="505"/>
      <c r="N379" s="505"/>
      <c r="O379" s="505"/>
      <c r="P379" s="1"/>
      <c r="T379" s="14"/>
      <c r="U379" s="304"/>
      <c r="V379" s="304"/>
      <c r="W379" s="304"/>
      <c r="X379" s="304"/>
      <c r="Y379" s="304" t="s">
        <v>9</v>
      </c>
      <c r="Z379" s="1"/>
      <c r="AA379" s="14"/>
      <c r="AB379" s="300" t="str">
        <f>IF(AND(Annexes!F7&gt;1,Annexes!F7&lt;=Annexes!H8),"OUI","NON")</f>
        <v>NON</v>
      </c>
      <c r="AC379" s="1"/>
      <c r="AD379" s="1"/>
      <c r="AE379" s="13"/>
    </row>
    <row r="380" spans="1:31" ht="16.5" hidden="1" customHeight="1">
      <c r="B380" s="103"/>
      <c r="C380" s="301"/>
      <c r="D380" s="306"/>
      <c r="E380" s="417" t="str">
        <f>IF(AB384="NON","",IF(OR(AB378="OUI",AND(OR(AB380="OUI",AB379="OUI"),OR(AB374&gt;=Annexes!P5,AB375&gt;=Annexes!P5,'Mes Aides'!AB145&gt;=0.1)),AB381=TRUE,AB382=TRUE),"",IF(AND(OR(AB380="OUI",AB379="OUI"),OR(AB374&lt;Annexes!P5,AB375&lt;Annexes!P5,'Mes Aides'!AB198&lt;0.1)),"L'entreprise fait partie des entreprises mentionnées en annexe 2 ou 3 du décret mais n'a pas eu une perte de CA d'au-Moins 80 %, entre le 15/03/2020 et le 15/05/2020 ou Novembre 2020 ou 10 % entre 2019 et 2020","L'entreprise ne fait pas partie des entreprises ayant une fermeture administrative avec 20 % de perte et ne fait pas partie des activités mentionnées aux annexes 1, 2 et 3 ou dans un centre commercial du décret ayant une perte significative.")))</f>
        <v>L'entreprise ne fait pas partie des entreprises ayant une fermeture administrative avec 20 % de perte et ne fait pas partie des activités mentionnées aux annexes 1, 2 et 3 ou dans un centre commercial du décret ayant une perte significative.</v>
      </c>
      <c r="F380" s="417"/>
      <c r="G380" s="417"/>
      <c r="H380" s="417"/>
      <c r="I380" s="417"/>
      <c r="J380" s="417"/>
      <c r="K380" s="417"/>
      <c r="L380" s="417"/>
      <c r="M380" s="417"/>
      <c r="N380" s="417"/>
      <c r="O380" s="417"/>
      <c r="P380" s="1"/>
      <c r="T380" s="491" t="s">
        <v>455</v>
      </c>
      <c r="U380" s="490"/>
      <c r="V380" s="490"/>
      <c r="W380" s="490"/>
      <c r="X380" s="490"/>
      <c r="Y380" s="490"/>
      <c r="Z380" s="1"/>
      <c r="AA380" s="14"/>
      <c r="AB380" s="300" t="str">
        <f>IF(OR(Annexes!M17=TRUE,Annexes!M23=TRUE,Annexes!M24=TRUE),"OUI","NON")</f>
        <v>NON</v>
      </c>
      <c r="AC380" s="1"/>
      <c r="AD380" s="1"/>
      <c r="AE380" s="13"/>
    </row>
    <row r="381" spans="1:31" ht="16.5" hidden="1" customHeight="1">
      <c r="B381" s="103"/>
      <c r="C381" s="301"/>
      <c r="D381" s="306"/>
      <c r="E381" s="417"/>
      <c r="F381" s="417"/>
      <c r="G381" s="417"/>
      <c r="H381" s="417"/>
      <c r="I381" s="417"/>
      <c r="J381" s="417"/>
      <c r="K381" s="417"/>
      <c r="L381" s="417"/>
      <c r="M381" s="417"/>
      <c r="N381" s="417"/>
      <c r="O381" s="417"/>
      <c r="P381" s="1"/>
      <c r="T381" s="14"/>
      <c r="U381" s="490" t="s">
        <v>313</v>
      </c>
      <c r="V381" s="490"/>
      <c r="W381" s="490"/>
      <c r="X381" s="490"/>
      <c r="Y381" s="490"/>
      <c r="Z381" s="1"/>
      <c r="AA381" s="14"/>
      <c r="AB381" s="300" t="b">
        <f>IF(Annexes!M29=TRUE,TRUE,FALSE)</f>
        <v>0</v>
      </c>
      <c r="AC381" s="1"/>
      <c r="AD381" s="1"/>
      <c r="AE381" s="13"/>
    </row>
    <row r="382" spans="1:31" ht="16.5" hidden="1" customHeight="1">
      <c r="B382" s="168"/>
      <c r="C382" s="301"/>
      <c r="D382" s="306"/>
      <c r="E382" s="417"/>
      <c r="F382" s="417"/>
      <c r="G382" s="417"/>
      <c r="H382" s="417"/>
      <c r="I382" s="417"/>
      <c r="J382" s="417"/>
      <c r="K382" s="417"/>
      <c r="L382" s="417"/>
      <c r="M382" s="417"/>
      <c r="N382" s="417"/>
      <c r="O382" s="417"/>
      <c r="P382" s="1"/>
      <c r="T382" s="14"/>
      <c r="U382" s="490" t="s">
        <v>394</v>
      </c>
      <c r="V382" s="490"/>
      <c r="W382" s="490"/>
      <c r="X382" s="490"/>
      <c r="Y382" s="490"/>
      <c r="Z382" s="1"/>
      <c r="AA382" s="14"/>
      <c r="AB382" s="300" t="b">
        <f>IF(Annexes!M30=TRUE,TRUE,FALSE)</f>
        <v>0</v>
      </c>
      <c r="AC382" s="1"/>
      <c r="AD382" s="1"/>
      <c r="AE382" s="13"/>
    </row>
    <row r="383" spans="1:31" ht="16.5" hidden="1" customHeight="1">
      <c r="A383" s="99"/>
      <c r="B383" s="103"/>
      <c r="C383" s="301"/>
      <c r="D383" s="523" t="str">
        <f>IFERROR(IF('Mon Entreprise'!K8&gt;=Annexes!O20,IF(AB354&gt;=AB356,"- Le CA de référence est celui d'Avril 2019, soit une perte de "&amp;ROUND(AB354,0)&amp;" €"&amp;" ==&gt; "&amp;ROUND(AE354*100,0)&amp;" %","- Le CA de référence est celui de la création, soit une perte de "&amp;ROUND(AB356,0)&amp;" €"&amp;" ==&gt; "&amp;ROUND(AE356*100,0)&amp;" %"),IF(AB354&gt;=AB355,"- Le CA de référence est celui d'Avril 2019, soit une perte de "&amp;ROUND(AB354,0)&amp;" €"&amp;" ==&gt; "&amp;ROUND(AE354*100,0)&amp;" %","- Le CA de référence est celui de l'exercice 2019, soit une perte de "&amp;ROUND(AB355,0)&amp;" €"&amp;" ==&gt; "&amp;ROUND(AE355*100,0)&amp;" %")),"")</f>
        <v>- Le CA de référence est celui d'Avril 2019, soit une perte de 0 € ==&gt; 0 %</v>
      </c>
      <c r="E383" s="523"/>
      <c r="F383" s="523"/>
      <c r="G383" s="523"/>
      <c r="H383" s="523"/>
      <c r="I383" s="523"/>
      <c r="J383" s="523"/>
      <c r="K383" s="523"/>
      <c r="L383" s="523"/>
      <c r="M383" s="523"/>
      <c r="N383" s="523"/>
      <c r="O383" s="523"/>
      <c r="P383" s="1"/>
      <c r="T383" s="14"/>
      <c r="U383" s="300"/>
      <c r="V383" s="300"/>
      <c r="W383" s="300"/>
      <c r="X383" s="300"/>
      <c r="Y383" s="300"/>
      <c r="Z383" s="1"/>
      <c r="AA383" s="14"/>
      <c r="AB383" s="300"/>
      <c r="AC383" s="1"/>
      <c r="AD383" s="1"/>
      <c r="AE383" s="13"/>
    </row>
    <row r="384" spans="1:31" ht="16.5" hidden="1" customHeight="1">
      <c r="A384" s="99"/>
      <c r="B384" s="103"/>
      <c r="C384" s="301"/>
      <c r="D384" s="524" t="str">
        <f>IFERROR(IF('Mon Entreprise'!K8&gt;=Annexes!O20,"",IF(AB354&lt;AB355,"A noter qu'il convient de choisir l'option retenue par l'entreprise lors de sa demande au titre du mois Février 2021, ou a défaut celui du mois de Mars 2021, si le CA de référence était celui de février 2019,"&amp;" il convient de prendre celui d'Avril 2019 (...), soit "&amp;ROUND(AB354,0)&amp;" €"&amp;" ==&gt; "&amp;ROUND(AE354*100,0)&amp;" %","A noter qu'il convient de choisir l'option retenue par l'entreprise lors de sa demande"&amp;" au titre du mois Février 2021,  ou a défaut celui du mois de Mars 2021, si le CA de référence était celui de l'exercice 2019, il convient de prendre celui de l'exercie 2019, soit une perte de "&amp;ROUND(AB355,0)&amp;" €"&amp;" ==&gt; "&amp;ROUND(AE355*100,0)&amp;" %")),"")</f>
        <v>A noter qu'il convient de choisir l'option retenue par l'entreprise lors de sa demande au titre du mois Février 2021,  ou a défaut celui du mois de Mars 2021, si le CA de référence était celui de l'exercice 2019, il convient de prendre celui de l'exercie 2019, soit une perte de 0 € ==&gt; 0 %</v>
      </c>
      <c r="E384" s="524"/>
      <c r="F384" s="524"/>
      <c r="G384" s="524"/>
      <c r="H384" s="524"/>
      <c r="I384" s="524"/>
      <c r="J384" s="524"/>
      <c r="K384" s="524"/>
      <c r="L384" s="524"/>
      <c r="M384" s="524"/>
      <c r="N384" s="524"/>
      <c r="O384" s="524"/>
      <c r="P384" s="1"/>
      <c r="T384" s="14"/>
      <c r="U384" s="525" t="s">
        <v>72</v>
      </c>
      <c r="V384" s="525"/>
      <c r="W384" s="525"/>
      <c r="X384" s="525"/>
      <c r="Y384" s="525"/>
      <c r="Z384" s="139"/>
      <c r="AA384" s="145"/>
      <c r="AB384" s="303" t="str">
        <f>IF(AB365="Oui","Oui","Non")</f>
        <v>Oui</v>
      </c>
      <c r="AC384" s="139"/>
      <c r="AD384" s="1"/>
      <c r="AE384" s="13"/>
    </row>
    <row r="385" spans="1:31" ht="16.5" hidden="1" customHeight="1">
      <c r="A385" s="99"/>
      <c r="B385" s="103"/>
      <c r="C385" s="301"/>
      <c r="D385" s="524"/>
      <c r="E385" s="524"/>
      <c r="F385" s="524"/>
      <c r="G385" s="524"/>
      <c r="H385" s="524"/>
      <c r="I385" s="524"/>
      <c r="J385" s="524"/>
      <c r="K385" s="524"/>
      <c r="L385" s="524"/>
      <c r="M385" s="524"/>
      <c r="N385" s="524"/>
      <c r="O385" s="524"/>
      <c r="P385" s="1"/>
      <c r="T385" s="14"/>
      <c r="U385" s="525" t="s">
        <v>84</v>
      </c>
      <c r="V385" s="525"/>
      <c r="W385" s="525"/>
      <c r="X385" s="525"/>
      <c r="Y385" s="525"/>
      <c r="Z385" s="139"/>
      <c r="AA385" s="145"/>
      <c r="AB385" s="303">
        <f>IF('Mon Entreprise'!K8&gt;=Annexes!O20,IF(AB354&gt;=AB356,AB354,AB356),IF(AB354&gt;=AB355,AB354,AB355))</f>
        <v>0</v>
      </c>
      <c r="AC385" s="139"/>
      <c r="AD385" s="1"/>
      <c r="AE385" s="13"/>
    </row>
    <row r="386" spans="1:31" ht="16.5" hidden="1" customHeight="1">
      <c r="B386" s="103"/>
      <c r="C386" s="301"/>
      <c r="D386" s="215" t="str">
        <f>IF(OR(AB378="OUI",AB381=TRUE),"- Sans ticket modérateur",IF(AND(OR(AB380="OUI",AB379="OUI"),OR(AB374&gt;=0.8,AB375&gt;=0.8,AB376&gt;=0.1)),"- La Perte de référence est plafonnée à 80 %, soit "&amp;ROUND(AB389,0)&amp;" €","- Sans ticket modérateur"))</f>
        <v>- Sans ticket modérateur</v>
      </c>
      <c r="E386" s="298"/>
      <c r="F386" s="298"/>
      <c r="G386" s="298"/>
      <c r="H386" s="298"/>
      <c r="I386" s="298"/>
      <c r="J386" s="298"/>
      <c r="K386" s="298"/>
      <c r="L386" s="298"/>
      <c r="M386" s="298"/>
      <c r="N386" s="298"/>
      <c r="O386" s="298"/>
      <c r="P386" s="1"/>
      <c r="T386" s="14"/>
      <c r="U386" s="525" t="s">
        <v>85</v>
      </c>
      <c r="V386" s="525"/>
      <c r="W386" s="525"/>
      <c r="X386" s="525"/>
      <c r="Y386" s="525"/>
      <c r="Z386" s="139"/>
      <c r="AA386" s="145"/>
      <c r="AB386" s="303">
        <f>IF('Mon Entreprise'!K8&gt;=Annexes!O20,IF(AB354&gt;=AB356,AE354,AE356),IF(AB354&gt;=AB355,AE354,AE355))</f>
        <v>0</v>
      </c>
      <c r="AC386" s="139"/>
      <c r="AD386" s="1"/>
      <c r="AE386" s="13"/>
    </row>
    <row r="387" spans="1:31" ht="16.5" hidden="1" customHeight="1" thickBot="1">
      <c r="B387" s="103"/>
      <c r="C387" s="301"/>
      <c r="D387" s="298"/>
      <c r="E387" s="298"/>
      <c r="F387" s="298"/>
      <c r="G387" s="298"/>
      <c r="H387" s="298"/>
      <c r="I387" s="298"/>
      <c r="J387" s="298"/>
      <c r="K387" s="298"/>
      <c r="L387" s="298"/>
      <c r="M387" s="298"/>
      <c r="N387" s="298"/>
      <c r="O387" s="298"/>
      <c r="P387" s="1"/>
      <c r="T387" s="14"/>
      <c r="U387" s="502" t="s">
        <v>74</v>
      </c>
      <c r="V387" s="502"/>
      <c r="W387" s="502"/>
      <c r="X387" s="502"/>
      <c r="Y387" s="502"/>
      <c r="Z387" s="139"/>
      <c r="AA387" s="145"/>
      <c r="AB387" s="303">
        <f>IF(OR(AB378="OUI",AB381=TRUE),1,IF(AND(OR(AB380="OUI",AB379="OUI"),OR(AB374&gt;=0.8,AB375&gt;=0.8,AB376&gt;=0.1)),0.8,1))</f>
        <v>1</v>
      </c>
      <c r="AC387" s="139"/>
      <c r="AD387" s="1"/>
      <c r="AE387" s="13"/>
    </row>
    <row r="388" spans="1:31" ht="16.5" hidden="1" customHeight="1">
      <c r="B388" s="103"/>
      <c r="C388" s="301"/>
      <c r="D388" s="508" t="str">
        <f>IFERROR(IF(AB384="NON","Vous avez débuté votre activité après le 31 Janvier 2020, vous ne pouvez donc pas bénéficier de cette aide",IF(OR(AB381=TRUE,AND(AB382=TRUE,AB386&gt;=0.5)),IF(AB389&gt;Annexes!O6,"Dans votre cas, l'aide est Plafonnée, à "&amp;Annexes!O6&amp;" € pour le mois d'Avril","Vous pouvez bénéficier, au titre de cette aide, d'un montant de "&amp;ROUND(AB389,0)&amp;" € pour le mois d'Avril"),IF(AB386&gt;=0.5,IF(OR(AB378="OUI",AND(OR(AB380="OUI",AB379="OUI"),OR(AB374&gt;=Annexes!P5,AB375&gt;=Annexes!P5,AB376&gt;=0.1))),IF(AB389&gt;Annexes!O6,"Dans votre cas, l'aide est Plafonnée, à "&amp;Annexes!O6&amp;" € pour le mois d'Avril","Vous pouvez bénéficier, au titre de cette aide, d'un montant de "&amp;ROUND(AB389,0)&amp;" € pour le mois d'Avril"),IF(AND(OR(AB380="OUI",AB379="OUI"),OR(AB374&lt;Annexes!P5,AB375&lt;Annexes!P5)),"L'entreprise fait partie des entreprises mentionnées en annexe 2 ou 3 ou dans un centre commercial du décret, mais n'a pas eu une perte de CA d'au-Moins 80 % entre le 15/03/2020 et le 15/05/2020 "&amp;"ou au mois de Novembre 2020 ou 10 % de perte entre 2019 et 2020","L'entreprise ne fait pas partie des entreprises"&amp;" ayant une fermeture administrative avec une perte de 20 % de CA et ne fait pas partie des activités mentionnées aux annexes 1, 2 et 3 ou dans un centre commercial du décret")),"L'entreprise n'a pas une perte d'au moins 50 % en Avril 2021"))),"Vous n'avez pas indiqué de chiffre d'affaires de référence")</f>
        <v>L'entreprise n'a pas une perte d'au moins 50 % en Avril 2021</v>
      </c>
      <c r="E388" s="509"/>
      <c r="F388" s="509"/>
      <c r="G388" s="509"/>
      <c r="H388" s="509"/>
      <c r="I388" s="509"/>
      <c r="J388" s="509"/>
      <c r="K388" s="509"/>
      <c r="L388" s="509"/>
      <c r="M388" s="509"/>
      <c r="N388" s="509"/>
      <c r="O388" s="510"/>
      <c r="P388" s="1"/>
      <c r="T388" s="14"/>
      <c r="U388" s="502" t="s">
        <v>80</v>
      </c>
      <c r="V388" s="502"/>
      <c r="W388" s="502"/>
      <c r="X388" s="502"/>
      <c r="Y388" s="502"/>
      <c r="Z388" s="139"/>
      <c r="AA388" s="145"/>
      <c r="AB388" s="303">
        <f>IF('Mon Entreprise'!K8&gt;=Annexes!O20,IF(AB354&gt;=AB356,Y354,Y356),IF(AB354&gt;=AB355,Y354,Y355))</f>
        <v>0</v>
      </c>
      <c r="AC388" s="139"/>
      <c r="AD388" s="1"/>
      <c r="AE388" s="13"/>
    </row>
    <row r="389" spans="1:31" ht="16.5" hidden="1" customHeight="1">
      <c r="B389" s="173"/>
      <c r="C389" s="301"/>
      <c r="D389" s="511"/>
      <c r="E389" s="512"/>
      <c r="F389" s="512"/>
      <c r="G389" s="512"/>
      <c r="H389" s="512"/>
      <c r="I389" s="512"/>
      <c r="J389" s="512"/>
      <c r="K389" s="512"/>
      <c r="L389" s="512"/>
      <c r="M389" s="512"/>
      <c r="N389" s="512"/>
      <c r="O389" s="513"/>
      <c r="P389" s="1"/>
      <c r="T389" s="14"/>
      <c r="U389" s="490" t="s">
        <v>104</v>
      </c>
      <c r="V389" s="490"/>
      <c r="W389" s="490"/>
      <c r="X389" s="490"/>
      <c r="Y389" s="490"/>
      <c r="Z389" s="1"/>
      <c r="AA389" s="14"/>
      <c r="AB389" s="300">
        <f>IF(AB387=1,AB385,IF(AB385*AB387&gt;1500,IF(AB385&gt;1500,AB385*AB387,"Impossible"),IF(AB385&lt;1500,AB385,1500)))</f>
        <v>0</v>
      </c>
      <c r="AC389" s="1"/>
      <c r="AD389" s="1"/>
      <c r="AE389" s="13"/>
    </row>
    <row r="390" spans="1:31" ht="16.5" hidden="1" customHeight="1">
      <c r="B390" s="103"/>
      <c r="C390" s="301"/>
      <c r="D390" s="511"/>
      <c r="E390" s="512"/>
      <c r="F390" s="512"/>
      <c r="G390" s="512"/>
      <c r="H390" s="512"/>
      <c r="I390" s="512"/>
      <c r="J390" s="512"/>
      <c r="K390" s="512"/>
      <c r="L390" s="512"/>
      <c r="M390" s="512"/>
      <c r="N390" s="512"/>
      <c r="O390" s="513"/>
      <c r="P390" s="1"/>
      <c r="T390" s="14"/>
      <c r="U390" s="300"/>
      <c r="V390" s="300"/>
      <c r="W390" s="300"/>
      <c r="X390" s="300"/>
      <c r="Y390" s="300"/>
      <c r="Z390" s="1"/>
      <c r="AA390" s="1"/>
      <c r="AB390" s="1"/>
      <c r="AC390" s="1"/>
      <c r="AD390" s="1"/>
      <c r="AE390" s="13"/>
    </row>
    <row r="391" spans="1:31" ht="16.5" hidden="1" customHeight="1" thickBot="1">
      <c r="B391" s="103"/>
      <c r="C391" s="301"/>
      <c r="D391" s="514"/>
      <c r="E391" s="515"/>
      <c r="F391" s="515"/>
      <c r="G391" s="515"/>
      <c r="H391" s="515"/>
      <c r="I391" s="515"/>
      <c r="J391" s="515"/>
      <c r="K391" s="515"/>
      <c r="L391" s="515"/>
      <c r="M391" s="515"/>
      <c r="N391" s="515"/>
      <c r="O391" s="516"/>
      <c r="P391" s="1"/>
      <c r="T391" s="14"/>
      <c r="U391" s="490"/>
      <c r="V391" s="490"/>
      <c r="W391" s="490"/>
      <c r="X391" s="490"/>
      <c r="Y391" s="490"/>
      <c r="Z391" s="1"/>
      <c r="AA391" s="1"/>
      <c r="AB391" s="1"/>
      <c r="AC391" s="1"/>
      <c r="AD391" s="1"/>
      <c r="AE391" s="13"/>
    </row>
    <row r="392" spans="1:31" ht="16.5" hidden="1" customHeight="1">
      <c r="B392" s="103"/>
      <c r="C392" s="169"/>
      <c r="D392" s="174"/>
      <c r="E392" s="174"/>
      <c r="F392" s="174"/>
      <c r="G392" s="174"/>
      <c r="H392" s="174"/>
      <c r="I392" s="174"/>
      <c r="J392" s="174"/>
      <c r="K392" s="174"/>
      <c r="L392" s="174"/>
      <c r="M392" s="174"/>
      <c r="N392" s="174"/>
      <c r="O392" s="174"/>
      <c r="P392" s="1"/>
      <c r="T392" s="14"/>
      <c r="U392" s="300"/>
      <c r="V392" s="300"/>
      <c r="W392" s="300"/>
      <c r="X392" s="300"/>
      <c r="Y392" s="300"/>
      <c r="Z392" s="1"/>
      <c r="AA392" s="1"/>
      <c r="AB392" s="1"/>
      <c r="AC392" s="1"/>
      <c r="AD392" s="1"/>
      <c r="AE392" s="13"/>
    </row>
    <row r="393" spans="1:31" ht="16.5" hidden="1" customHeight="1">
      <c r="B393" s="103"/>
      <c r="C393" s="301"/>
      <c r="D393" s="298"/>
      <c r="E393" s="298"/>
      <c r="F393" s="298"/>
      <c r="G393" s="298"/>
      <c r="H393" s="298"/>
      <c r="I393" s="298"/>
      <c r="J393" s="298"/>
      <c r="K393" s="298"/>
      <c r="L393" s="298"/>
      <c r="M393" s="298"/>
      <c r="N393" s="298"/>
      <c r="O393" s="298"/>
      <c r="P393" s="1"/>
      <c r="T393" s="14"/>
      <c r="U393" s="1"/>
      <c r="V393" s="1"/>
      <c r="W393" s="1"/>
      <c r="X393" s="1"/>
      <c r="Y393" s="1"/>
      <c r="Z393" s="1"/>
      <c r="AA393" s="1"/>
      <c r="AB393" s="1"/>
      <c r="AC393" s="1"/>
      <c r="AD393" s="1"/>
      <c r="AE393" s="13"/>
    </row>
    <row r="394" spans="1:31" ht="16.5" hidden="1" customHeight="1">
      <c r="B394" s="103"/>
      <c r="C394" s="529" t="s">
        <v>453</v>
      </c>
      <c r="D394" s="529"/>
      <c r="E394" s="529"/>
      <c r="F394" s="529"/>
      <c r="G394" s="529"/>
      <c r="H394" s="529"/>
      <c r="I394" s="529"/>
      <c r="J394" s="529"/>
      <c r="K394" s="529"/>
      <c r="L394" s="529"/>
      <c r="M394" s="529"/>
      <c r="N394" s="529"/>
      <c r="O394" s="529"/>
      <c r="P394" s="1"/>
      <c r="T394" s="14"/>
      <c r="U394" s="1"/>
      <c r="V394" s="1"/>
      <c r="W394" s="1"/>
      <c r="X394" s="1"/>
      <c r="Y394" s="1"/>
      <c r="Z394" s="1"/>
      <c r="AA394" s="1"/>
      <c r="AB394" s="1"/>
      <c r="AC394" s="1"/>
      <c r="AD394" s="1"/>
      <c r="AE394" s="13"/>
    </row>
    <row r="395" spans="1:31" ht="16.5" hidden="1" customHeight="1">
      <c r="B395" s="103"/>
      <c r="C395" s="529"/>
      <c r="D395" s="529"/>
      <c r="E395" s="529"/>
      <c r="F395" s="529"/>
      <c r="G395" s="529"/>
      <c r="H395" s="529"/>
      <c r="I395" s="529"/>
      <c r="J395" s="529"/>
      <c r="K395" s="529"/>
      <c r="L395" s="529"/>
      <c r="M395" s="529"/>
      <c r="N395" s="529"/>
      <c r="O395" s="529"/>
      <c r="P395" s="1"/>
      <c r="T395" s="14"/>
      <c r="U395" s="1"/>
      <c r="V395" s="1"/>
      <c r="W395" s="1"/>
      <c r="X395" s="1"/>
      <c r="Y395" s="1"/>
      <c r="Z395" s="1"/>
      <c r="AA395" s="1"/>
      <c r="AB395" s="1"/>
      <c r="AC395" s="1"/>
      <c r="AD395" s="1"/>
      <c r="AE395" s="13"/>
    </row>
    <row r="396" spans="1:31" ht="16.5" hidden="1" customHeight="1">
      <c r="B396" s="103"/>
      <c r="C396" s="529"/>
      <c r="D396" s="529"/>
      <c r="E396" s="529"/>
      <c r="F396" s="529"/>
      <c r="G396" s="529"/>
      <c r="H396" s="529"/>
      <c r="I396" s="529"/>
      <c r="J396" s="529"/>
      <c r="K396" s="529"/>
      <c r="L396" s="529"/>
      <c r="M396" s="529"/>
      <c r="N396" s="529"/>
      <c r="O396" s="529"/>
      <c r="P396" s="1"/>
      <c r="T396" s="14"/>
      <c r="U396" s="1"/>
      <c r="V396" s="1"/>
      <c r="W396" s="1"/>
      <c r="X396" s="1"/>
      <c r="Y396" s="1"/>
      <c r="Z396" s="1"/>
      <c r="AA396" s="1"/>
      <c r="AB396" s="1"/>
      <c r="AC396" s="1"/>
      <c r="AD396" s="1"/>
      <c r="AE396" s="13"/>
    </row>
    <row r="397" spans="1:31" ht="16.5" hidden="1" customHeight="1">
      <c r="B397" s="173"/>
      <c r="C397" s="529"/>
      <c r="D397" s="529"/>
      <c r="E397" s="529"/>
      <c r="F397" s="529"/>
      <c r="G397" s="529"/>
      <c r="H397" s="529"/>
      <c r="I397" s="529"/>
      <c r="J397" s="529"/>
      <c r="K397" s="529"/>
      <c r="L397" s="529"/>
      <c r="M397" s="529"/>
      <c r="N397" s="529"/>
      <c r="O397" s="529"/>
      <c r="P397" s="1"/>
      <c r="T397" s="14"/>
      <c r="U397" s="1"/>
      <c r="V397" s="1"/>
      <c r="W397" s="1"/>
      <c r="X397" s="1"/>
      <c r="Y397" s="1"/>
      <c r="Z397" s="1"/>
      <c r="AA397" s="1"/>
      <c r="AB397" s="1"/>
      <c r="AC397" s="1"/>
      <c r="AD397" s="1"/>
      <c r="AE397" s="13"/>
    </row>
    <row r="398" spans="1:31" ht="16.5" hidden="1" customHeight="1">
      <c r="B398" s="173"/>
      <c r="C398" s="301"/>
      <c r="D398" s="306"/>
      <c r="E398" s="523" t="str">
        <f>IF(AB384="NON","",IF(OR(AB378="OUI",AND(OR(AB380="OUI",AB379="OUI"),OR(AB374&gt;=Annexes!P5,AB375&gt;=Annexes!P5,'Mes Aides'!AB145&gt;=0.1)),AB381=TRUE,AB382=TRUE),"",IF(AND(OR(AB380="OUI",AB379="OUI"),OR(AB374&lt;Annexes!P5,AB375&lt;Annexes!P5,'Mes Aides'!AB145&lt;0.1)),"L'entreprise fait partie des entreprises mentionnées en annexe 2 ou 3 ou dans un centre commercial du décret mais n'a pas eu une perte de CA d'au-Moins 80 %, entre le 15/03/2020 et le 15/05/2020 ou Novembre 2020 ou 10 % entre 2019 et 2020","L'entreprise ne fait pas partie des entreprises ayant une fermeture administrative sur le mois avec une perte de 20 % de CA et ne fait pas partie des activités mentionnées aux annexes 1, 2 et 3 ou dans un centre commercial du décret.")))</f>
        <v>L'entreprise ne fait pas partie des entreprises ayant une fermeture administrative sur le mois avec une perte de 20 % de CA et ne fait pas partie des activités mentionnées aux annexes 1, 2 et 3 ou dans un centre commercial du décret.</v>
      </c>
      <c r="F398" s="523"/>
      <c r="G398" s="523"/>
      <c r="H398" s="523"/>
      <c r="I398" s="523"/>
      <c r="J398" s="523"/>
      <c r="K398" s="523"/>
      <c r="L398" s="523"/>
      <c r="M398" s="523"/>
      <c r="N398" s="523"/>
      <c r="O398" s="523"/>
      <c r="P398" s="1"/>
      <c r="T398" s="14"/>
      <c r="U398" s="502" t="s">
        <v>82</v>
      </c>
      <c r="V398" s="502"/>
      <c r="W398" s="502"/>
      <c r="X398" s="502"/>
      <c r="Y398" s="502"/>
      <c r="Z398" s="68"/>
      <c r="AA398" s="1"/>
      <c r="AB398" s="1">
        <f>IFERROR(IF(AB365="Non",0,IF(OR(AB381=TRUE,AND(AB368&lt;0.5,AB382=TRUE),(AB368&gt;=0.5)),IF(AB367&gt;Annexes!O5,Annexes!O5,ROUND(AB367,0)),0)),0)</f>
        <v>0</v>
      </c>
      <c r="AC398" s="1"/>
      <c r="AD398" s="1"/>
      <c r="AE398" s="13"/>
    </row>
    <row r="399" spans="1:31" ht="15" hidden="1" customHeight="1">
      <c r="B399" s="173"/>
      <c r="C399" s="301"/>
      <c r="D399" s="306"/>
      <c r="E399" s="523"/>
      <c r="F399" s="523"/>
      <c r="G399" s="523"/>
      <c r="H399" s="523"/>
      <c r="I399" s="523"/>
      <c r="J399" s="523"/>
      <c r="K399" s="523"/>
      <c r="L399" s="523"/>
      <c r="M399" s="523"/>
      <c r="N399" s="523"/>
      <c r="O399" s="523"/>
      <c r="P399" s="1"/>
      <c r="T399" s="14"/>
      <c r="U399" s="502" t="s">
        <v>81</v>
      </c>
      <c r="V399" s="502"/>
      <c r="W399" s="502"/>
      <c r="X399" s="502"/>
      <c r="Y399" s="502"/>
      <c r="Z399" s="68"/>
      <c r="AA399" s="1"/>
      <c r="AB399" s="1">
        <f>IFERROR(IF(AB384="NON",0,IF(OR(AB381=TRUE,AND(AB382=TRUE,AB386&gt;=0.5)),IF(AB389&gt;Annexes!O6,Annexes!O6,ROUND(AB389,0)),IF(AB386&gt;=0.5,IF(OR(AB378="OUI",AND(OR(AB380="OUI",AB379="OUI"),OR(AB374&gt;=Annexes!P5,AB375&gt;=Annexes!P5,AB376&gt;=0.1))),IF(AB389&gt;Annexes!O6,Annexes!O6,ROUND(AB389,0)),IF(AND(OR(AB380="OUI",AB379="OUI"),OR(AB374&lt;Annexes!P5,AB375&lt;Annexes!P5)),0,0)),0))),0)</f>
        <v>0</v>
      </c>
      <c r="AC399" s="1"/>
      <c r="AD399" s="1"/>
      <c r="AE399" s="13"/>
    </row>
    <row r="400" spans="1:31" ht="15" hidden="1" customHeight="1">
      <c r="B400" s="173"/>
      <c r="C400" s="301"/>
      <c r="D400" s="306"/>
      <c r="E400" s="523"/>
      <c r="F400" s="523"/>
      <c r="G400" s="523"/>
      <c r="H400" s="523"/>
      <c r="I400" s="523"/>
      <c r="J400" s="523"/>
      <c r="K400" s="523"/>
      <c r="L400" s="523"/>
      <c r="M400" s="523"/>
      <c r="N400" s="523"/>
      <c r="O400" s="523"/>
      <c r="P400" s="1"/>
      <c r="T400" s="14"/>
      <c r="U400" s="502" t="s">
        <v>399</v>
      </c>
      <c r="V400" s="502"/>
      <c r="W400" s="502"/>
      <c r="X400" s="502"/>
      <c r="Y400" s="502"/>
      <c r="Z400" s="68"/>
      <c r="AA400" s="1"/>
      <c r="AB400" s="1">
        <f>IFERROR(IF(AB384="NON",0,IF(OR(AB381=TRUE,AND(AB382=TRUE,AB386&gt;=0.5)),IF(AB388=0,0,IF(AB385&lt;AB388*0.2,ROUND(AB385,0),IF(AB388*0.2&gt;=200000,Annexes!O8,ROUND(AB388*0.2,0)))),IF(OR(AB378="OUI",AND(AB379="OUI",OR(AB374&gt;=0.8,AB375&gt;=0.8,AB376&gt;=0.1))),IF(AB386&gt;=0.7,IF(AB385&lt;AB388*0.2,ROUND(AB385,0),IF(AB388*0.2&gt;=200000,Annexes!O8,ROUND(AB388*0.2,0))),IF(AB386&gt;=0.5,IF(AB385&lt;AB388*0.15,ROUND(AB385,0),IF(AB388*0.15&gt;=200000,Annexes!O8,ROUND(AB388*0.15,0))),IF(AND(AB380="OUI",OR(AB374&gt;=0.8,AB375&gt;=0.8,AB376&gt;=0.1),AB386&gt;=0.7),IF(AB385&lt;AB388*0.2,ROUND(AB385,0),IF(AB388*0.2&gt;=200000,Annexes!O8,ROUND(AB388*0.2,0))),0))),IF(AND(AB380="OUI",OR(AB374&gt;=0.8,AB375&gt;=0.8,AB376&gt;=0.1),AB386&gt;=0.7),IF(AB385&lt;AB388*0.2,ROUND(AB385,0),IF(AB388*0.2&gt;=200000,Annexes!O8,ROUND(AB388*0.2,0))),0)))),0)</f>
        <v>0</v>
      </c>
      <c r="AC400" s="1"/>
      <c r="AD400" s="1"/>
      <c r="AE400" s="13"/>
    </row>
    <row r="401" spans="2:31" ht="16.5" hidden="1" customHeight="1">
      <c r="B401" s="173"/>
      <c r="C401" s="301"/>
      <c r="D401" s="417" t="str">
        <f>IFERROR(IF('Mon Entreprise'!K8&gt;=Annexes!O20,IF(AB354&gt;=AB356,"- Le CA de référence est celui d'Avril 2019, soit une perte de "&amp;ROUND(AB354,0)&amp;" €"&amp;" ==&gt; "&amp;ROUND(AE354*100,0)&amp;" %","- Le CA de référence est celui de la création, soit une perte de "&amp;ROUND(AB356,0)&amp;" €"&amp;" ==&gt; "&amp;ROUND(AE356*100,0)&amp;" %"),IF(AB354&gt;=AB355,"- Le CA de référence est celui d'Avril 2019, soit une perte de "&amp;ROUND(AB354,0)&amp;" €"&amp;" ==&gt; "&amp;ROUND(AE354*100,0)&amp;" %","- Le CA de référence est celui de l'exercice 2019, soit une perte de "&amp;ROUND(AB355,0)&amp;" €"&amp;" ==&gt; "&amp;ROUND(AE355*100,0)&amp;" %")),"")</f>
        <v>- Le CA de référence est celui d'Avril 2019, soit une perte de 0 € ==&gt; 0 %</v>
      </c>
      <c r="E401" s="417"/>
      <c r="F401" s="417"/>
      <c r="G401" s="417"/>
      <c r="H401" s="417"/>
      <c r="I401" s="417"/>
      <c r="J401" s="417"/>
      <c r="K401" s="417"/>
      <c r="L401" s="417"/>
      <c r="M401" s="417"/>
      <c r="N401" s="417"/>
      <c r="O401" s="417"/>
      <c r="P401" s="298"/>
      <c r="Q401" s="298"/>
      <c r="T401" s="14"/>
      <c r="U401" s="1"/>
      <c r="V401" s="1"/>
      <c r="W401" s="1"/>
      <c r="X401" s="1"/>
      <c r="Y401" s="1"/>
      <c r="Z401" s="1"/>
      <c r="AA401" s="1"/>
      <c r="AB401" s="1"/>
      <c r="AC401" s="1"/>
      <c r="AD401" s="1"/>
      <c r="AE401" s="13"/>
    </row>
    <row r="402" spans="2:31" ht="16.5" hidden="1" customHeight="1">
      <c r="B402" s="173"/>
      <c r="C402" s="301"/>
      <c r="D402" s="524" t="str">
        <f>IFERROR(IF('Mon Entreprise'!K8&gt;=Annexes!O20,"",IF(AB354&lt;AB355,"A noter qu'il convient de choisir l'option retenue par l'entreprise lors de sa demande au titre du mois Février 2021,  ou a défaut celui du mois de Mars 2021, si le CA de référence était celui de février 2019, il convient"&amp;" de prendre celui d'Avril 2019 (...), soit "&amp;ROUND(AB354,0)&amp;" €"&amp;" ==&gt; "&amp;ROUND(AE354*100,0)&amp;" %","A noter qu'il convient de choisir l'option retenue par l'entreprise lors de sa demande au titre du mois Février 2021, "&amp;"ou a défaut celui du mois de Mars 2021, si le CA de référence était celui de l'exercice 2019, il convient de prendre celui de l'exercie 2019, soit une perte de "&amp;ROUND(AB355,0)&amp;" €"&amp;" ==&gt; "&amp;ROUND(AE355*100,0)&amp;" %")),"")</f>
        <v>A noter qu'il convient de choisir l'option retenue par l'entreprise lors de sa demande au titre du mois Février 2021, ou a défaut celui du mois de Mars 2021, si le CA de référence était celui de l'exercice 2019, il convient de prendre celui de l'exercie 2019, soit une perte de 0 € ==&gt; 0 %</v>
      </c>
      <c r="E402" s="524"/>
      <c r="F402" s="524"/>
      <c r="G402" s="524"/>
      <c r="H402" s="524"/>
      <c r="I402" s="524"/>
      <c r="J402" s="524"/>
      <c r="K402" s="524"/>
      <c r="L402" s="524"/>
      <c r="M402" s="524"/>
      <c r="N402" s="524"/>
      <c r="O402" s="524"/>
      <c r="P402" s="298"/>
      <c r="Q402" s="298"/>
      <c r="T402" s="14"/>
      <c r="U402" s="1"/>
      <c r="V402" s="1"/>
      <c r="W402" s="1"/>
      <c r="X402" s="1"/>
      <c r="Y402" s="1"/>
      <c r="Z402" s="1"/>
      <c r="AA402" s="1"/>
      <c r="AB402" s="1"/>
      <c r="AC402" s="1"/>
      <c r="AD402" s="1"/>
      <c r="AE402" s="13"/>
    </row>
    <row r="403" spans="2:31" ht="16.5" hidden="1" customHeight="1">
      <c r="B403" s="173"/>
      <c r="C403" s="301"/>
      <c r="D403" s="524"/>
      <c r="E403" s="524"/>
      <c r="F403" s="524"/>
      <c r="G403" s="524"/>
      <c r="H403" s="524"/>
      <c r="I403" s="524"/>
      <c r="J403" s="524"/>
      <c r="K403" s="524"/>
      <c r="L403" s="524"/>
      <c r="M403" s="524"/>
      <c r="N403" s="524"/>
      <c r="O403" s="524"/>
      <c r="P403" s="298"/>
      <c r="Q403" s="298"/>
      <c r="T403" s="14"/>
      <c r="U403" s="1"/>
      <c r="V403" s="1"/>
      <c r="W403" s="1"/>
      <c r="X403" s="1"/>
      <c r="Y403" s="1"/>
      <c r="Z403" s="1"/>
      <c r="AA403" s="1"/>
      <c r="AB403" s="1"/>
      <c r="AC403" s="1"/>
      <c r="AD403" s="1"/>
      <c r="AE403" s="13"/>
    </row>
    <row r="404" spans="2:31" ht="16.5" hidden="1" customHeight="1">
      <c r="B404" s="103"/>
      <c r="C404" s="301"/>
      <c r="D404" s="523" t="str">
        <f>IF(OR(AB381=TRUE,AND(AB382=TRUE,AB386&gt;=0.5)),"- L'entreprise peut bénéficier d'une aide de 20 % du CA de référence, plafonnée à 200 000 €",IF(OR(AB378="OUI",AND(AB379="OUI",OR(AB374&gt;=0.8,AB375&gt;=0.8,AB376&gt;=0.1))),IF(AB386&gt;=0.7,"- L'entreprise peut bénéficier d'une aide de 20 % du CA de référence, plafonnée à 200 000 €",IF(AB386&gt;=0.5,"- L'entreprise peut bénéficier d'une aide de 15 % du CA de référence, plafonnée à 200 000 €","- L'entreprise n'a subi ni de fermeture administrative avec une perte de 20 % de CA au mois d'Avril, ni de perte d'au moins 50 % de son CA")),IF(AND(AB380="OUI",OR(AB374&gt;=0.8,AB375&gt;=0.8,AB376&gt;=0.1),AB386&gt;=0.5),"- L'entreprise peut bénéficier d'une aide de 20 % du CA de référence, plafonnée à 200 000 €","- L'entreprise ne fait ni partie des fermetures administratives avec une perte de 20 % du CA au mois d'Avril, ni des activités mentionnées en annexe 1 (S1) ou en annexe 2 (S1 bis) ou Annexe 3 ou dans un centre commercial ayant une perte significative")))</f>
        <v>- L'entreprise ne fait ni partie des fermetures administratives avec une perte de 20 % du CA au mois d'Avril, ni des activités mentionnées en annexe 1 (S1) ou en annexe 2 (S1 bis) ou Annexe 3 ou dans un centre commercial ayant une perte significative</v>
      </c>
      <c r="E404" s="523"/>
      <c r="F404" s="523"/>
      <c r="G404" s="523"/>
      <c r="H404" s="523"/>
      <c r="I404" s="523"/>
      <c r="J404" s="523"/>
      <c r="K404" s="523"/>
      <c r="L404" s="523"/>
      <c r="M404" s="523"/>
      <c r="N404" s="523"/>
      <c r="O404" s="523"/>
      <c r="P404" s="298"/>
      <c r="Q404" s="298"/>
      <c r="T404" s="14"/>
      <c r="U404" s="1"/>
      <c r="V404" s="1"/>
      <c r="W404" s="1"/>
      <c r="X404" s="1"/>
      <c r="Y404" s="1"/>
      <c r="Z404" s="1"/>
      <c r="AA404" s="1"/>
      <c r="AB404" s="1"/>
      <c r="AC404" s="1"/>
      <c r="AD404" s="1"/>
      <c r="AE404" s="13"/>
    </row>
    <row r="405" spans="2:31" ht="16.5" hidden="1" customHeight="1">
      <c r="B405" s="168"/>
      <c r="C405" s="301"/>
      <c r="D405" s="523"/>
      <c r="E405" s="523"/>
      <c r="F405" s="523"/>
      <c r="G405" s="523"/>
      <c r="H405" s="523"/>
      <c r="I405" s="523"/>
      <c r="J405" s="523"/>
      <c r="K405" s="523"/>
      <c r="L405" s="523"/>
      <c r="M405" s="523"/>
      <c r="N405" s="523"/>
      <c r="O405" s="523"/>
      <c r="P405" s="298"/>
      <c r="Q405" s="298"/>
      <c r="T405" s="14"/>
      <c r="U405" s="1"/>
      <c r="V405" s="1"/>
      <c r="W405" s="1"/>
      <c r="X405" s="1"/>
      <c r="Y405" s="1"/>
      <c r="Z405" s="1"/>
      <c r="AA405" s="1"/>
      <c r="AB405" s="1"/>
      <c r="AC405" s="1"/>
      <c r="AD405" s="1"/>
      <c r="AE405" s="13"/>
    </row>
    <row r="406" spans="2:31" ht="16.5" hidden="1" customHeight="1" thickBot="1">
      <c r="B406" s="168"/>
      <c r="C406" s="301"/>
      <c r="D406" s="205"/>
      <c r="E406" s="298"/>
      <c r="F406" s="298"/>
      <c r="G406" s="298"/>
      <c r="H406" s="298"/>
      <c r="I406" s="298"/>
      <c r="J406" s="298"/>
      <c r="K406" s="298"/>
      <c r="L406" s="298"/>
      <c r="M406" s="298"/>
      <c r="N406" s="298"/>
      <c r="O406" s="298"/>
      <c r="P406" s="298"/>
      <c r="Q406" s="298"/>
      <c r="T406" s="14"/>
      <c r="U406" s="1"/>
      <c r="V406" s="1"/>
      <c r="W406" s="1"/>
      <c r="X406" s="1"/>
      <c r="Y406" s="1"/>
      <c r="Z406" s="1"/>
      <c r="AA406" s="1"/>
      <c r="AB406" s="1"/>
      <c r="AC406" s="1"/>
      <c r="AD406" s="1"/>
      <c r="AE406" s="13"/>
    </row>
    <row r="407" spans="2:31" ht="16.5" hidden="1" customHeight="1">
      <c r="B407" s="103"/>
      <c r="C407" s="180"/>
      <c r="D407" s="527" t="str">
        <f>IFERROR(IF(AB384="NON","Vous avez débuté votre activité après le 31 Janvier 2020, vous ne pouvez donc pas bénéficier de cette aide",IF(OR(AB381=TRUE,AND(AB382=TRUE,AB386&gt;=0.5)),IF(AB388=0,"Vous n'avez pas indiqué de chiffre d'affaires de référence",IF(AB385&lt;AB388*0.2,"Dans votre cas, la perte est inférieure à 20 % du CA, l'aide est donc plafonnée à la perte, soit "&amp;ROUND(AB385,0)&amp;" € pour le mois d'Avril",IF(AB388*0.2&gt;=200000,"Dans votre cas, l'aide est plafonnée, à "&amp;Annexes!O8&amp;" € pour le mois d'Avril","Vous pouvez bénéficier, au titre de cette aide, d'un montant de "&amp;ROUND(AB388*0.2,0)&amp;" € pour le mois d'Avril"))),IF(OR(AB378="OUI",AND(AB379="OUI",OR(AB374&gt;=0.8,AB375&gt;=0.8,AB376&gt;=0.1))),IF(AB386&gt;=0.7,IF(AB385&lt;AB388*0.2,"Dans votre cas, la perte est inférieure à 20 % du CA, l'aide est donc plafonnée à la perte, soit "&amp;ROUND(AB385,0)&amp;" € pour le mois d'Avril",IF(AB388*0.2&gt;=200000,"Dans votre cas, l'aide est plafonnée, à "&amp;Annexes!O8&amp;" € pour le mois d'Avril","Vous pouvez bénéficier, au titre de cette aide, d'un montant de "&amp;ROUND(AB388*0.2,0)&amp;" € pour le mois d'Avril")),IF(AB386&gt;=0.5,IF(AB385&lt;AB388*0.15,"Dans votre cas, la perte est inférieure à 15 % du CA, l'aide est donc plafonnée à la perte, soit "&amp;ROUND(AB385,0)&amp;" € pour le mois d'Avril",IF(AB388*0.15&gt;=200000,"Dans votre cas, l'aide est plafonnée, à "&amp;Annexes!O8&amp;" € pour le mois d'Avril","Vous pouvez bénéficier, au titre de cette aide, d'un montant de "&amp;ROUND(AB388*0.15,0)&amp;" € pour le mois d'Avril")),IF(AND(AB380="OUI",OR(AB374&gt;=0.8,AB375&gt;=0.8,AB376&gt;=0.1),AB386&gt;=0.7),IF(AB385&lt;AB388*0.2,"Dans votre cas, la perte est inférieure à 20 % du CA, l'aide est donc plafonnée à la perte, soit "&amp;ROUND(AB385,0)&amp;" € pour le mois d'Avril",IF(AB388*0.2&gt;=200000,"Dans votre cas, l'aide est plafonnée, à "&amp;Annexes!O8&amp;" € pour le mois d'Avril","Vous pouvez bénéficier, au titre de cette aide, d'un montant de "&amp;ROUND(AB388*0.2,0)&amp;" € pour le mois d'Avril")),"L'entreprise ne fait ni partie des fermetures administratives au mois d'Avril, ni des activités mentionnées en annexe 1 (S1) avec 50 % de perte en Avril ou en annexe 2 (S1 bis) ou 3 ou dans un centre commercial avec 70 % de Perte en Avril"))),IF(AND(AB380="OUI",OR(AB374&gt;=0.8,AB375&gt;=0.8,AB376&gt;=0.1),AB386&gt;=0.7),IF(AB385&lt;AB388*0.2,"Dans votre cas, la perte est inférieure à 20 % du CA, l'aide est donc plafonnée à la perte, soit "&amp;ROUND(AB385,0)&amp;" € pour le mois d'Avril",IF(AB388*0.2&gt;=200000,"Dans votre cas, l'aide est plafonnée, à "&amp;Annexes!O8&amp;" € pour le mois d'Avril","Vous pouvez bénéficier, au titre de cette aide, d'un montant de "&amp;ROUND(AB388*0.2,0)&amp;" € pour le mois d'Avril")),"L'entreprise ne fait ni partie des fermetures administratives avec 20 % de perte au mois d'Avril, ni des activités mentionnées en annexe 1 (S1)"&amp;" ou en annexe 2 (S1 bis) avec 50 % de perte en Avril ou 3 ou dans un centre commercial avec 70 % de Perte en Avril")))),"Vous n'avez pas indiqué de chiffre d'affaires de référence")</f>
        <v>L'entreprise ne fait ni partie des fermetures administratives avec 20 % de perte au mois d'Avril, ni des activités mentionnées en annexe 1 (S1) ou en annexe 2 (S1 bis) avec 50 % de perte en Avril ou 3 ou dans un centre commercial avec 70 % de Perte en Avril</v>
      </c>
      <c r="E407" s="509"/>
      <c r="F407" s="509"/>
      <c r="G407" s="509"/>
      <c r="H407" s="509"/>
      <c r="I407" s="509"/>
      <c r="J407" s="509"/>
      <c r="K407" s="509"/>
      <c r="L407" s="509"/>
      <c r="M407" s="509"/>
      <c r="N407" s="509"/>
      <c r="O407" s="510"/>
      <c r="P407" s="298"/>
      <c r="Q407" s="298"/>
      <c r="T407" s="14"/>
      <c r="U407" s="1"/>
      <c r="V407" s="1"/>
      <c r="W407" s="1"/>
      <c r="X407" s="1"/>
      <c r="Y407" s="1"/>
      <c r="Z407" s="1"/>
      <c r="AA407" s="1"/>
      <c r="AB407" s="1"/>
      <c r="AC407" s="1"/>
      <c r="AD407" s="1"/>
      <c r="AE407" s="13"/>
    </row>
    <row r="408" spans="2:31" ht="16.5" hidden="1" customHeight="1">
      <c r="B408" s="103"/>
      <c r="C408" s="180"/>
      <c r="D408" s="511"/>
      <c r="E408" s="512"/>
      <c r="F408" s="512"/>
      <c r="G408" s="512"/>
      <c r="H408" s="512"/>
      <c r="I408" s="512"/>
      <c r="J408" s="512"/>
      <c r="K408" s="512"/>
      <c r="L408" s="512"/>
      <c r="M408" s="512"/>
      <c r="N408" s="512"/>
      <c r="O408" s="513"/>
      <c r="P408" s="298"/>
      <c r="Q408" s="298"/>
      <c r="T408" s="14"/>
      <c r="U408" s="1"/>
      <c r="V408" s="1"/>
      <c r="W408" s="1"/>
      <c r="X408" s="1"/>
      <c r="Y408" s="1"/>
      <c r="Z408" s="1"/>
      <c r="AA408" s="1"/>
      <c r="AB408" s="1"/>
      <c r="AC408" s="1"/>
      <c r="AD408" s="1"/>
      <c r="AE408" s="13"/>
    </row>
    <row r="409" spans="2:31" ht="16.5" hidden="1" customHeight="1">
      <c r="B409" s="103"/>
      <c r="C409" s="180"/>
      <c r="D409" s="511"/>
      <c r="E409" s="512"/>
      <c r="F409" s="512"/>
      <c r="G409" s="512"/>
      <c r="H409" s="512"/>
      <c r="I409" s="512"/>
      <c r="J409" s="512"/>
      <c r="K409" s="512"/>
      <c r="L409" s="512"/>
      <c r="M409" s="512"/>
      <c r="N409" s="512"/>
      <c r="O409" s="513"/>
      <c r="P409" s="175"/>
      <c r="Q409" s="175"/>
      <c r="T409" s="14"/>
      <c r="U409" s="1"/>
      <c r="V409" s="1"/>
      <c r="W409" s="1"/>
      <c r="X409" s="1"/>
      <c r="Y409" s="1"/>
      <c r="Z409" s="1"/>
      <c r="AA409" s="1"/>
      <c r="AB409" s="1"/>
      <c r="AC409" s="1"/>
      <c r="AD409" s="1"/>
      <c r="AE409" s="13"/>
    </row>
    <row r="410" spans="2:31" ht="16.5" hidden="1" customHeight="1" thickBot="1">
      <c r="B410" s="103"/>
      <c r="C410" s="180"/>
      <c r="D410" s="514"/>
      <c r="E410" s="515"/>
      <c r="F410" s="515"/>
      <c r="G410" s="515"/>
      <c r="H410" s="515"/>
      <c r="I410" s="515"/>
      <c r="J410" s="515"/>
      <c r="K410" s="515"/>
      <c r="L410" s="515"/>
      <c r="M410" s="515"/>
      <c r="N410" s="515"/>
      <c r="O410" s="516"/>
      <c r="T410" s="14"/>
      <c r="U410" s="1"/>
      <c r="V410" s="1"/>
      <c r="W410" s="1"/>
      <c r="X410" s="1"/>
      <c r="Y410" s="1"/>
      <c r="Z410" s="1"/>
      <c r="AA410" s="1"/>
      <c r="AB410" s="1"/>
      <c r="AC410" s="1"/>
      <c r="AD410" s="1"/>
      <c r="AE410" s="13"/>
    </row>
    <row r="411" spans="2:31" ht="16.5" hidden="1" customHeight="1">
      <c r="B411" s="5"/>
      <c r="C411" s="5"/>
      <c r="D411" s="531" t="str">
        <f>IF(AND(AB382=TRUE,AB381=FALSE,AB367&gt;1500),"L'aide est plafonné à 1 500 €, Si l'entreprise a subi une perte de moins de 50 % sur la période en comprenant le CA réalisé sur les activités de vente à distance avec retrait en magasin ou livraison sont à prendre en compte pour le calcul de la perte","")</f>
        <v/>
      </c>
      <c r="E411" s="531"/>
      <c r="F411" s="531"/>
      <c r="G411" s="531"/>
      <c r="H411" s="531"/>
      <c r="I411" s="531"/>
      <c r="J411" s="531"/>
      <c r="K411" s="531"/>
      <c r="L411" s="531"/>
      <c r="M411" s="531"/>
      <c r="N411" s="531"/>
      <c r="O411" s="531"/>
      <c r="P411" s="177"/>
      <c r="Q411" s="177"/>
      <c r="T411" s="14"/>
      <c r="U411" s="1"/>
      <c r="V411" s="1"/>
      <c r="W411" s="1"/>
      <c r="X411" s="1"/>
      <c r="Y411" s="1"/>
      <c r="Z411" s="1"/>
      <c r="AA411" s="1"/>
      <c r="AB411" s="1"/>
      <c r="AC411" s="1"/>
      <c r="AD411" s="1"/>
      <c r="AE411" s="13"/>
    </row>
    <row r="412" spans="2:31" hidden="1">
      <c r="B412" s="5"/>
      <c r="C412" s="5"/>
      <c r="D412" s="531"/>
      <c r="E412" s="531"/>
      <c r="F412" s="531"/>
      <c r="G412" s="531"/>
      <c r="H412" s="531"/>
      <c r="I412" s="531"/>
      <c r="J412" s="531"/>
      <c r="K412" s="531"/>
      <c r="L412" s="531"/>
      <c r="M412" s="531"/>
      <c r="N412" s="531"/>
      <c r="O412" s="531"/>
      <c r="P412" s="177"/>
      <c r="Q412" s="177"/>
      <c r="T412" s="14"/>
      <c r="U412" s="1"/>
      <c r="V412" s="1"/>
      <c r="W412" s="1"/>
      <c r="X412" s="1"/>
      <c r="Y412" s="1"/>
      <c r="Z412" s="1"/>
      <c r="AA412" s="1"/>
      <c r="AB412" s="1"/>
      <c r="AC412" s="1"/>
      <c r="AD412" s="1"/>
      <c r="AE412" s="13"/>
    </row>
    <row r="413" spans="2:31">
      <c r="D413" s="177"/>
      <c r="E413" s="177"/>
      <c r="F413" s="177"/>
      <c r="G413" s="177"/>
      <c r="H413" s="177"/>
      <c r="I413" s="177"/>
      <c r="J413" s="177"/>
      <c r="K413" s="177"/>
      <c r="L413" s="177"/>
      <c r="M413" s="177"/>
      <c r="N413" s="177"/>
      <c r="O413" s="177"/>
      <c r="P413" s="175"/>
      <c r="Q413" s="175"/>
      <c r="T413" s="14"/>
      <c r="U413" s="1"/>
      <c r="V413" s="1"/>
      <c r="W413" s="1"/>
      <c r="X413" s="1"/>
      <c r="Y413" s="1"/>
      <c r="Z413" s="1"/>
      <c r="AA413" s="1"/>
      <c r="AB413" s="1"/>
      <c r="AC413" s="1"/>
      <c r="AD413" s="1"/>
      <c r="AE413" s="13"/>
    </row>
    <row r="414" spans="2:31" ht="16.5" thickBot="1">
      <c r="B414" s="220"/>
      <c r="C414" s="488" t="s">
        <v>461</v>
      </c>
      <c r="D414" s="488"/>
      <c r="E414" s="488"/>
      <c r="F414" s="488"/>
      <c r="G414" s="488"/>
      <c r="H414" s="488"/>
      <c r="I414" s="221"/>
      <c r="J414" s="221"/>
      <c r="K414" s="221"/>
      <c r="L414" s="221"/>
      <c r="M414" s="221"/>
      <c r="N414" s="221"/>
      <c r="O414" s="221"/>
      <c r="T414" s="16"/>
      <c r="U414" s="11"/>
      <c r="V414" s="11"/>
      <c r="W414" s="11"/>
      <c r="X414" s="11"/>
      <c r="Y414" s="11"/>
      <c r="Z414" s="11"/>
      <c r="AA414" s="11"/>
      <c r="AB414" s="11"/>
      <c r="AC414" s="11"/>
      <c r="AD414" s="11"/>
      <c r="AE414" s="12"/>
    </row>
    <row r="415" spans="2:31" ht="15" customHeight="1">
      <c r="B415" s="63"/>
      <c r="C415" s="24"/>
      <c r="D415" s="24"/>
      <c r="E415" s="24"/>
      <c r="F415" s="24"/>
      <c r="G415" s="24"/>
      <c r="H415" s="63"/>
      <c r="I415" s="1"/>
      <c r="J415" s="1"/>
      <c r="K415" s="1"/>
      <c r="L415" s="1"/>
      <c r="M415" s="1"/>
      <c r="N415" s="1"/>
      <c r="O415" s="1"/>
      <c r="T415" s="14"/>
      <c r="U415" s="1"/>
      <c r="V415" s="1"/>
      <c r="W415" s="1"/>
      <c r="X415" s="1"/>
      <c r="Y415" s="1"/>
      <c r="Z415" s="1"/>
      <c r="AA415" s="1"/>
      <c r="AB415" s="1"/>
      <c r="AC415" s="1"/>
      <c r="AD415" s="1"/>
      <c r="AE415" s="13"/>
    </row>
    <row r="416" spans="2:31" ht="15" customHeight="1">
      <c r="B416" s="103"/>
      <c r="C416" s="489" t="s">
        <v>471</v>
      </c>
      <c r="D416" s="489"/>
      <c r="E416" s="489"/>
      <c r="F416" s="489"/>
      <c r="G416" s="489"/>
      <c r="H416" s="489"/>
      <c r="I416" s="489"/>
      <c r="J416" s="489"/>
      <c r="K416" s="489"/>
      <c r="L416" s="489"/>
      <c r="M416" s="489"/>
      <c r="N416" s="489"/>
      <c r="O416" s="489"/>
      <c r="P416" s="1"/>
      <c r="T416" s="25"/>
      <c r="U416" s="490" t="s">
        <v>20</v>
      </c>
      <c r="V416" s="490"/>
      <c r="W416" s="490"/>
      <c r="X416" s="1"/>
      <c r="Y416" s="328" t="s">
        <v>6</v>
      </c>
      <c r="Z416" s="328"/>
      <c r="AA416" s="328"/>
      <c r="AB416" s="328" t="s">
        <v>23</v>
      </c>
      <c r="AC416" s="328"/>
      <c r="AD416" s="328"/>
      <c r="AE416" s="26" t="s">
        <v>24</v>
      </c>
    </row>
    <row r="417" spans="2:31" ht="15.75" customHeight="1">
      <c r="B417" s="103"/>
      <c r="C417" s="325"/>
      <c r="D417" s="60" t="s">
        <v>435</v>
      </c>
      <c r="E417" s="325"/>
      <c r="F417" s="325"/>
      <c r="G417" s="325"/>
      <c r="H417" s="325"/>
      <c r="I417" s="325"/>
      <c r="J417" s="325"/>
      <c r="K417" s="325"/>
      <c r="L417" s="325"/>
      <c r="M417" s="325"/>
      <c r="N417" s="325"/>
      <c r="O417" s="325"/>
      <c r="P417" s="1"/>
      <c r="T417" s="25"/>
      <c r="U417" s="328"/>
      <c r="V417" s="328"/>
      <c r="W417" s="328"/>
      <c r="X417" s="1"/>
      <c r="Y417" s="328"/>
      <c r="Z417" s="328"/>
      <c r="AA417" s="328"/>
      <c r="AB417" s="328"/>
      <c r="AC417" s="328"/>
      <c r="AD417" s="328"/>
      <c r="AE417" s="26"/>
    </row>
    <row r="418" spans="2:31" ht="16.5" thickBot="1">
      <c r="B418" s="103"/>
      <c r="C418" s="325"/>
      <c r="D418" s="60"/>
      <c r="E418" s="325"/>
      <c r="F418" s="325"/>
      <c r="G418" s="325"/>
      <c r="H418" s="325"/>
      <c r="I418" s="325"/>
      <c r="J418" s="325"/>
      <c r="K418" s="325"/>
      <c r="L418" s="325"/>
      <c r="M418" s="325"/>
      <c r="N418" s="325"/>
      <c r="O418" s="325"/>
      <c r="P418" s="1"/>
      <c r="T418" s="491" t="s">
        <v>460</v>
      </c>
      <c r="U418" s="490"/>
      <c r="V418" s="490"/>
      <c r="W418" s="490"/>
      <c r="X418" s="1"/>
      <c r="Y418" s="7">
        <f>'Mon Entreprise'!I130</f>
        <v>0</v>
      </c>
      <c r="Z418" s="133"/>
      <c r="AA418" s="21"/>
      <c r="AB418" s="7">
        <f>IF('Mon Entreprise'!I130-'Mon Entreprise'!M130&lt;0,0,'Mon Entreprise'!I130-'Mon Entreprise'!M130)</f>
        <v>0</v>
      </c>
      <c r="AC418" s="13"/>
      <c r="AD418" s="1"/>
      <c r="AE418" s="27">
        <f>IFERROR(1-'Mon Entreprise'!M130/'Mon Entreprise'!I130,0)</f>
        <v>0</v>
      </c>
    </row>
    <row r="419" spans="2:31" ht="15.75">
      <c r="B419" s="103"/>
      <c r="C419" s="325"/>
      <c r="D419" s="492" t="str">
        <f>IFERROR(IF(AND(AB462=0,AB463=0,AB464=0),"Vous ne pouvez pas bénéficier du fonds de solidarité pour le mois de Mai 2021",IF(AND(AB464&gt;AB463,AB464&gt;AB462),"Votre entreprise peut bénéficier d'une aide de "&amp;AB464&amp;" €, au titre d'une fermeture Administrative avec une perte de 20 % de CA, ou d'une perte d'au moins 50 % ou 70 % du CA pour les activités mentionnées en annexe 1,"&amp;" ou d'une perte d'au moins 70 % du CA pour les activités mentionnées en annexe 2 ou 3 ou dans un centre commercial, ou domicilié dans certaines îles d'outre-mer",IF(AB463&gt;AB462,"Votre entreprise peut bénéficier d'une aide de "&amp;AB463&amp;" €, au titre d'une fermeture Administrative avec une perte de 20 % du CA, ou d'une perte d'au moins 50 % du CA pour les activités mentionnées en annexe 1,"&amp;" ou en annexe 2 ou 3 ou dans un centre commercial, ou domicilié dans certaines îles d'outre-mer, ayant une perte de CA d'au moins 80 % entre le 15/03/2020 et le 15/05/2020, au mois de Novembre 2020 ou 10 % de perte entre 2019 et 2020","Votre entreprise peut bénéficier d'une aide de "&amp;AB462&amp;" €, au titre d'une perte d'au-moins 50 % de votre CA en Mai 2021"))),"Vous n'avez pas indiqué de chiffre d'affaires de référence")</f>
        <v>Vous ne pouvez pas bénéficier du fonds de solidarité pour le mois de Mai 2021</v>
      </c>
      <c r="E419" s="493"/>
      <c r="F419" s="493"/>
      <c r="G419" s="493"/>
      <c r="H419" s="493"/>
      <c r="I419" s="493"/>
      <c r="J419" s="493"/>
      <c r="K419" s="493"/>
      <c r="L419" s="493"/>
      <c r="M419" s="493"/>
      <c r="N419" s="493"/>
      <c r="O419" s="494"/>
      <c r="P419" s="1"/>
      <c r="T419" s="491" t="s">
        <v>25</v>
      </c>
      <c r="U419" s="490"/>
      <c r="V419" s="490"/>
      <c r="W419" s="490"/>
      <c r="X419" s="1"/>
      <c r="Y419" s="7">
        <f>'Mon Entreprise'!I98</f>
        <v>0</v>
      </c>
      <c r="Z419" s="133"/>
      <c r="AA419" s="21"/>
      <c r="AB419" s="7">
        <f>IF('Mon Entreprise'!I98-'Mon Entreprise'!M130&lt;0,0,'Mon Entreprise'!I98-'Mon Entreprise'!M130)</f>
        <v>0</v>
      </c>
      <c r="AC419" s="36"/>
      <c r="AD419" s="1"/>
      <c r="AE419" s="27">
        <f>IFERROR(1-'Mon Entreprise'!M130/'Mon Entreprise'!I98,0)</f>
        <v>0</v>
      </c>
    </row>
    <row r="420" spans="2:31" ht="15.75" customHeight="1">
      <c r="B420" s="103"/>
      <c r="C420" s="325"/>
      <c r="D420" s="495"/>
      <c r="E420" s="496"/>
      <c r="F420" s="496"/>
      <c r="G420" s="496"/>
      <c r="H420" s="496"/>
      <c r="I420" s="496"/>
      <c r="J420" s="496"/>
      <c r="K420" s="496"/>
      <c r="L420" s="496"/>
      <c r="M420" s="496"/>
      <c r="N420" s="496"/>
      <c r="O420" s="497"/>
      <c r="P420" s="1"/>
      <c r="T420" s="501" t="s">
        <v>22</v>
      </c>
      <c r="U420" s="502"/>
      <c r="V420" s="502"/>
      <c r="W420" s="502"/>
      <c r="X420" s="139"/>
      <c r="Y420" s="140" t="str">
        <f>IF('Mon Entreprise'!I148="","NC",'Mon Entreprise'!I148)</f>
        <v>NC</v>
      </c>
      <c r="Z420" s="191"/>
      <c r="AA420" s="192"/>
      <c r="AB420" s="143" t="str">
        <f>IFERROR(IF('Mon Entreprise'!I148-'Mon Entreprise'!M130&lt;0,0,'Mon Entreprise'!I148-'Mon Entreprise'!M130),"NC")</f>
        <v>NC</v>
      </c>
      <c r="AC420" s="193"/>
      <c r="AD420" s="139"/>
      <c r="AE420" s="146" t="str">
        <f>IFERROR(1-'Mon Entreprise'!M130/'Mon Entreprise'!I148,"NC")</f>
        <v>NC</v>
      </c>
    </row>
    <row r="421" spans="2:31" ht="15.75" customHeight="1">
      <c r="B421" s="103"/>
      <c r="C421" s="325"/>
      <c r="D421" s="495"/>
      <c r="E421" s="496"/>
      <c r="F421" s="496"/>
      <c r="G421" s="496"/>
      <c r="H421" s="496"/>
      <c r="I421" s="496"/>
      <c r="J421" s="496"/>
      <c r="K421" s="496"/>
      <c r="L421" s="496"/>
      <c r="M421" s="496"/>
      <c r="N421" s="496"/>
      <c r="O421" s="497"/>
      <c r="P421" s="1"/>
      <c r="T421" s="326"/>
      <c r="U421" s="323"/>
      <c r="V421" s="323"/>
      <c r="W421" s="323"/>
      <c r="X421" s="139"/>
      <c r="Y421" s="140"/>
      <c r="Z421" s="141"/>
      <c r="AA421" s="192"/>
      <c r="AB421" s="143"/>
      <c r="AC421" s="323"/>
      <c r="AD421" s="139"/>
      <c r="AE421" s="146"/>
    </row>
    <row r="422" spans="2:31" ht="15.75" customHeight="1">
      <c r="B422" s="103"/>
      <c r="C422" s="325"/>
      <c r="D422" s="495"/>
      <c r="E422" s="496"/>
      <c r="F422" s="496"/>
      <c r="G422" s="496"/>
      <c r="H422" s="496"/>
      <c r="I422" s="496"/>
      <c r="J422" s="496"/>
      <c r="K422" s="496"/>
      <c r="L422" s="496"/>
      <c r="M422" s="496"/>
      <c r="N422" s="496"/>
      <c r="O422" s="497"/>
      <c r="P422" s="1"/>
      <c r="T422" s="14"/>
      <c r="U422" s="1"/>
      <c r="V422" s="1"/>
      <c r="W422" s="1"/>
      <c r="X422" s="1"/>
      <c r="Y422" s="1"/>
      <c r="Z422" s="1"/>
      <c r="AA422" s="1"/>
      <c r="AB422" s="1"/>
      <c r="AC422" s="1"/>
      <c r="AD422" s="1"/>
      <c r="AE422" s="13"/>
    </row>
    <row r="423" spans="2:31" ht="15.75" customHeight="1">
      <c r="B423" s="103"/>
      <c r="C423" s="325"/>
      <c r="D423" s="495"/>
      <c r="E423" s="496"/>
      <c r="F423" s="496"/>
      <c r="G423" s="496"/>
      <c r="H423" s="496"/>
      <c r="I423" s="496"/>
      <c r="J423" s="496"/>
      <c r="K423" s="496"/>
      <c r="L423" s="496"/>
      <c r="M423" s="496"/>
      <c r="N423" s="496"/>
      <c r="O423" s="497"/>
      <c r="P423" s="1"/>
      <c r="T423" s="14"/>
      <c r="AC423" s="1"/>
      <c r="AD423" s="1"/>
      <c r="AE423" s="13"/>
    </row>
    <row r="424" spans="2:31" ht="15.75" customHeight="1" thickBot="1">
      <c r="B424" s="103"/>
      <c r="C424" s="325"/>
      <c r="D424" s="498"/>
      <c r="E424" s="499"/>
      <c r="F424" s="499"/>
      <c r="G424" s="499"/>
      <c r="H424" s="499"/>
      <c r="I424" s="499"/>
      <c r="J424" s="499"/>
      <c r="K424" s="499"/>
      <c r="L424" s="499"/>
      <c r="M424" s="499"/>
      <c r="N424" s="499"/>
      <c r="O424" s="500"/>
      <c r="P424" s="1"/>
      <c r="T424" s="14"/>
      <c r="AC424" s="1"/>
      <c r="AD424" s="1"/>
      <c r="AE424" s="13"/>
    </row>
    <row r="425" spans="2:31" ht="16.5" customHeight="1">
      <c r="B425" s="103"/>
      <c r="C425" s="325"/>
      <c r="D425" s="330" t="s">
        <v>462</v>
      </c>
      <c r="E425" s="325"/>
      <c r="F425" s="325"/>
      <c r="G425" s="325"/>
      <c r="H425" s="325"/>
      <c r="I425" s="325"/>
      <c r="J425" s="325"/>
      <c r="K425" s="325"/>
      <c r="L425" s="325"/>
      <c r="M425" s="325"/>
      <c r="N425" s="325"/>
      <c r="O425" s="325"/>
      <c r="P425" s="1"/>
      <c r="T425" s="14"/>
      <c r="AC425" s="1"/>
      <c r="AD425" s="1"/>
      <c r="AE425" s="13"/>
    </row>
    <row r="426" spans="2:31" ht="15.75" hidden="1">
      <c r="B426" s="103"/>
      <c r="C426" s="78"/>
      <c r="D426" s="78"/>
      <c r="E426" s="78"/>
      <c r="F426" s="78"/>
      <c r="G426" s="78"/>
      <c r="H426" s="78"/>
      <c r="I426" s="78"/>
      <c r="J426" s="78"/>
      <c r="K426" s="78"/>
      <c r="L426" s="78"/>
      <c r="M426" s="78"/>
      <c r="N426" s="78"/>
      <c r="O426" s="78"/>
      <c r="P426" s="1"/>
      <c r="T426" s="14"/>
      <c r="U426" s="1"/>
      <c r="V426" s="1"/>
      <c r="W426" s="1"/>
      <c r="X426" s="1"/>
      <c r="Y426" s="1"/>
      <c r="Z426" s="1"/>
      <c r="AA426" s="1"/>
      <c r="AB426" s="1"/>
      <c r="AC426" s="1"/>
      <c r="AD426" s="1"/>
      <c r="AE426" s="13"/>
    </row>
    <row r="427" spans="2:31" ht="15.75" hidden="1">
      <c r="B427" s="103"/>
      <c r="C427" s="325"/>
      <c r="D427" s="60"/>
      <c r="E427" s="325"/>
      <c r="F427" s="325"/>
      <c r="G427" s="325"/>
      <c r="H427" s="325"/>
      <c r="I427" s="325"/>
      <c r="J427" s="325"/>
      <c r="K427" s="325"/>
      <c r="L427" s="325"/>
      <c r="M427" s="325"/>
      <c r="N427" s="325"/>
      <c r="O427" s="325"/>
      <c r="P427" s="1"/>
      <c r="T427" s="14"/>
      <c r="U427" s="1"/>
      <c r="V427" s="1"/>
      <c r="W427" s="1"/>
      <c r="X427" s="1"/>
      <c r="Y427" s="1"/>
      <c r="Z427" s="1"/>
      <c r="AA427" s="1"/>
      <c r="AB427" s="1"/>
      <c r="AC427" s="1"/>
      <c r="AD427" s="1"/>
      <c r="AE427" s="13"/>
    </row>
    <row r="428" spans="2:31" ht="15.75" hidden="1">
      <c r="B428" s="103"/>
      <c r="C428" s="325" t="s">
        <v>463</v>
      </c>
      <c r="D428" s="60"/>
      <c r="E428" s="325"/>
      <c r="F428" s="325"/>
      <c r="G428" s="325"/>
      <c r="H428" s="325"/>
      <c r="I428" s="325"/>
      <c r="J428" s="325"/>
      <c r="K428" s="325"/>
      <c r="L428" s="325"/>
      <c r="M428" s="325"/>
      <c r="N428" s="325"/>
      <c r="O428" s="325"/>
      <c r="P428" s="1"/>
      <c r="T428" s="14"/>
      <c r="U428" s="1"/>
      <c r="V428" s="1"/>
      <c r="W428" s="1"/>
      <c r="X428" s="1"/>
      <c r="Y428" s="1"/>
      <c r="Z428" s="1"/>
      <c r="AA428" s="1"/>
      <c r="AB428" s="1"/>
      <c r="AC428" s="1"/>
      <c r="AD428" s="1"/>
      <c r="AE428" s="13"/>
    </row>
    <row r="429" spans="2:31" ht="15.75" hidden="1">
      <c r="B429" s="103"/>
      <c r="C429" s="319" t="s">
        <v>466</v>
      </c>
      <c r="D429" s="60"/>
      <c r="E429" s="325"/>
      <c r="F429" s="325"/>
      <c r="G429" s="325"/>
      <c r="H429" s="325"/>
      <c r="I429" s="325"/>
      <c r="J429" s="325"/>
      <c r="K429" s="325"/>
      <c r="L429" s="325"/>
      <c r="M429" s="325"/>
      <c r="N429" s="325"/>
      <c r="O429" s="325"/>
      <c r="P429" s="1"/>
      <c r="T429" s="14"/>
      <c r="U429" s="506" t="s">
        <v>72</v>
      </c>
      <c r="V429" s="506"/>
      <c r="W429" s="506"/>
      <c r="X429" s="506"/>
      <c r="Y429" s="506"/>
      <c r="Z429" s="1"/>
      <c r="AA429" s="14"/>
      <c r="AB429" s="323" t="str">
        <f>IF('Mon Entreprise'!K8&lt;=Annexes!R15,"Oui","Non")</f>
        <v>Oui</v>
      </c>
      <c r="AC429" s="1"/>
      <c r="AD429" s="1"/>
      <c r="AE429" s="13"/>
    </row>
    <row r="430" spans="2:31" ht="15.75" hidden="1">
      <c r="B430" s="168"/>
      <c r="C430" s="325"/>
      <c r="D430" s="60" t="str">
        <f>IFERROR(IF('Mon Entreprise'!K8&gt;=Annexes!O20,IF(AB418&gt;=AB420,"Le CA de référence est celui de Mai 2019, soit une perte de "&amp;ROUND(AB418,0)&amp;" €"&amp;" ==&gt; "&amp;ROUND(AE418*100,0)&amp;" %","Le CA de référence est celui de la création, soit une perte de "&amp;ROUND(AB420,0)&amp;" €"&amp;" ==&gt; "&amp;ROUND(AE420*100,0)&amp;" %"),IF(AB418&gt;=AB419,"Le CA de référence est celui de Mai 2019, soit une perte de "&amp;ROUND(AB418,0)&amp;" €"&amp;" ==&gt; "&amp;ROUND(AE418*100,0)&amp;" %","Le CA de référence est celui de l'exercice 2019, soit une perte de "&amp;ROUND(AB419,0)&amp;" €"&amp;" ==&gt; "&amp;ROUND(AE419*100,0)&amp;" %")),"")</f>
        <v>Le CA de référence est celui de Mai 2019, soit une perte de 0 € ==&gt; 0 %</v>
      </c>
      <c r="E430" s="325"/>
      <c r="F430" s="325"/>
      <c r="G430" s="325"/>
      <c r="H430" s="325"/>
      <c r="I430" s="325"/>
      <c r="J430" s="325"/>
      <c r="K430" s="325"/>
      <c r="L430" s="325"/>
      <c r="M430" s="325"/>
      <c r="N430" s="325"/>
      <c r="O430" s="325"/>
      <c r="P430" s="1"/>
      <c r="T430" s="14"/>
      <c r="U430" s="322"/>
      <c r="V430" s="506" t="s">
        <v>393</v>
      </c>
      <c r="W430" s="506"/>
      <c r="X430" s="506"/>
      <c r="Y430" s="506"/>
      <c r="Z430" s="1"/>
      <c r="AA430" s="14"/>
      <c r="AB430" s="323">
        <f>IF('Mon Entreprise'!K8&gt;=Annexes!O20,IF(Y418&gt;=Y420,Y418,Y420),IF(Y418&gt;=Y419,Y418,Y419))</f>
        <v>0</v>
      </c>
      <c r="AC430" s="1"/>
      <c r="AD430" s="1"/>
      <c r="AE430" s="13"/>
    </row>
    <row r="431" spans="2:31" ht="15.75" hidden="1">
      <c r="B431" s="168"/>
      <c r="C431" s="325"/>
      <c r="D431" s="507" t="str">
        <f>IFERROR(IF('Mon Entreprise'!K8&gt;=Annexes!O20,"",IF(AB418&lt;AB419,"A noter qu'il convient de choisir l'option retenue par l'entreprise lors de sa demande au titre du mois Février 2021, ou a défaut celui du mois de Mars, d'Avril 2021, si le CA de référence était celui de février 2019, il convient de prendre"&amp;" celui de Mai 2019 (...), soit "&amp;ROUND(AB418,0)&amp;" €"&amp;" ==&gt; "&amp;ROUND(AE418*100,0)&amp;" %","A noter qu'il convient de choisir l'option retenue par l'entreprise lors de sa demande au titre du mois Février 2021, ou "&amp;"a défaut celui du mois de Mars, d'Avril 2021, si le CA de référence était celui de l'exercice 2019, il convient de prendre celui de l'exercie 2019, soit une perte de "&amp;ROUND(AB419,0)&amp;" €"&amp;" ==&gt; "&amp;ROUND(AE419*100,0)&amp;" %")),"")</f>
        <v>A noter qu'il convient de choisir l'option retenue par l'entreprise lors de sa demande au titre du mois Février 2021, ou a défaut celui du mois de Mars, d'Avril 2021, si le CA de référence était celui de l'exercice 2019, il convient de prendre celui de l'exercie 2019, soit une perte de 0 € ==&gt; 0 %</v>
      </c>
      <c r="E431" s="507"/>
      <c r="F431" s="507"/>
      <c r="G431" s="507"/>
      <c r="H431" s="507"/>
      <c r="I431" s="507"/>
      <c r="J431" s="507"/>
      <c r="K431" s="507"/>
      <c r="L431" s="507"/>
      <c r="M431" s="507"/>
      <c r="N431" s="507"/>
      <c r="O431" s="507"/>
      <c r="P431" s="1"/>
      <c r="T431" s="14"/>
      <c r="U431" s="506" t="s">
        <v>84</v>
      </c>
      <c r="V431" s="506"/>
      <c r="W431" s="506"/>
      <c r="X431" s="506"/>
      <c r="Y431" s="506"/>
      <c r="Z431" s="1"/>
      <c r="AA431" s="14"/>
      <c r="AB431" s="324">
        <f>IF('Mon Entreprise'!K8&gt;=Annexes!O20,IF(AB418&gt;=AB420,AB418,AB420),IF(AB418&gt;=AB419,AB418,AB419))</f>
        <v>0</v>
      </c>
      <c r="AC431" s="1"/>
      <c r="AD431" s="1"/>
      <c r="AE431" s="13"/>
    </row>
    <row r="432" spans="2:31" ht="15.75" hidden="1">
      <c r="B432" s="168"/>
      <c r="C432" s="325"/>
      <c r="D432" s="507"/>
      <c r="E432" s="507"/>
      <c r="F432" s="507"/>
      <c r="G432" s="507"/>
      <c r="H432" s="507"/>
      <c r="I432" s="507"/>
      <c r="J432" s="507"/>
      <c r="K432" s="507"/>
      <c r="L432" s="507"/>
      <c r="M432" s="507"/>
      <c r="N432" s="507"/>
      <c r="O432" s="507"/>
      <c r="P432" s="1"/>
      <c r="T432" s="14"/>
      <c r="U432" s="506" t="s">
        <v>85</v>
      </c>
      <c r="V432" s="506"/>
      <c r="W432" s="506"/>
      <c r="X432" s="506"/>
      <c r="Y432" s="506"/>
      <c r="Z432" s="1"/>
      <c r="AA432" s="14"/>
      <c r="AB432" s="19">
        <f>IF('Mon Entreprise'!K8&gt;=Annexes!O20,IF(AB418&gt;=AB420,AE418,AE420),IF(AB418&gt;=AB419,AE418,AE419))</f>
        <v>0</v>
      </c>
      <c r="AC432" s="1"/>
      <c r="AD432" s="1"/>
      <c r="AE432" s="13"/>
    </row>
    <row r="433" spans="1:31" ht="16.5" hidden="1" thickBot="1">
      <c r="B433" s="103"/>
      <c r="C433" s="325"/>
      <c r="D433" s="60"/>
      <c r="E433" s="325"/>
      <c r="F433" s="325"/>
      <c r="G433" s="325"/>
      <c r="H433" s="325"/>
      <c r="I433" s="325"/>
      <c r="J433" s="325"/>
      <c r="K433" s="325"/>
      <c r="L433" s="325"/>
      <c r="M433" s="325"/>
      <c r="N433" s="325"/>
      <c r="O433" s="325"/>
      <c r="P433" s="1"/>
      <c r="T433" s="14"/>
      <c r="U433" s="1"/>
      <c r="V433" s="1"/>
      <c r="W433" s="1"/>
      <c r="X433" s="1"/>
      <c r="Y433" s="1"/>
      <c r="Z433" s="1"/>
      <c r="AA433" s="1"/>
      <c r="AB433" s="1"/>
      <c r="AC433" s="1"/>
      <c r="AD433" s="1"/>
      <c r="AE433" s="13"/>
    </row>
    <row r="434" spans="1:31" ht="15.75" hidden="1">
      <c r="B434" s="168"/>
      <c r="C434" s="325"/>
      <c r="D434" s="508" t="str">
        <f>IFERROR(IF(AB429="Non","Vous avez débuté votre activité après le 31 Janvier 2020, vous ne pouvez donc pas bénéficier de cette aide",IF(OR(AB445=TRUE,AND(AB432&lt;0.5,AB446=TRUE),(AB432&gt;=0.5)),IF(AB431&gt;Annexes!O5,"Dans votre cas, l'aide est Plafonnée, à "&amp;Annexes!O5&amp;" € pour le mois de Mai","Vous pouvez bénéficier, au titre de cette aide, d'un montant de "&amp;ROUND(AB431,0)&amp;" € pour le mois de Mai"),"L'entreprise n'a pas une perte d'au moins 50 % en Mai 2021 ou n'a pas été en fermeture Administrative")),"Vous n'avez pas indiqué de chiffre d'affaires de référence")</f>
        <v>L'entreprise n'a pas une perte d'au moins 50 % en Mai 2021 ou n'a pas été en fermeture Administrative</v>
      </c>
      <c r="E434" s="509"/>
      <c r="F434" s="509"/>
      <c r="G434" s="509"/>
      <c r="H434" s="509"/>
      <c r="I434" s="509"/>
      <c r="J434" s="509"/>
      <c r="K434" s="509"/>
      <c r="L434" s="509"/>
      <c r="M434" s="509"/>
      <c r="N434" s="509"/>
      <c r="O434" s="510"/>
      <c r="P434" s="1"/>
      <c r="T434" s="14"/>
      <c r="U434" s="1"/>
      <c r="V434" s="1"/>
      <c r="W434" s="1"/>
      <c r="X434" s="1"/>
      <c r="Y434" s="1"/>
      <c r="Z434" s="1"/>
      <c r="AA434" s="1"/>
      <c r="AB434" s="1"/>
      <c r="AC434" s="1"/>
      <c r="AD434" s="1"/>
      <c r="AE434" s="13"/>
    </row>
    <row r="435" spans="1:31" ht="15.75" hidden="1" customHeight="1">
      <c r="B435" s="168"/>
      <c r="C435" s="325"/>
      <c r="D435" s="511"/>
      <c r="E435" s="512"/>
      <c r="F435" s="512"/>
      <c r="G435" s="512"/>
      <c r="H435" s="512"/>
      <c r="I435" s="512"/>
      <c r="J435" s="512"/>
      <c r="K435" s="512"/>
      <c r="L435" s="512"/>
      <c r="M435" s="512"/>
      <c r="N435" s="512"/>
      <c r="O435" s="513"/>
      <c r="P435" s="1"/>
      <c r="T435" s="14"/>
      <c r="U435" s="1"/>
      <c r="V435" s="1"/>
      <c r="W435" s="1"/>
      <c r="X435" s="1"/>
      <c r="Y435" s="1"/>
      <c r="Z435" s="1"/>
      <c r="AA435" s="1"/>
      <c r="AB435" s="1"/>
      <c r="AC435" s="1"/>
      <c r="AD435" s="1"/>
      <c r="AE435" s="13"/>
    </row>
    <row r="436" spans="1:31" ht="15.75" hidden="1" customHeight="1">
      <c r="B436" s="103"/>
      <c r="C436" s="325"/>
      <c r="D436" s="511"/>
      <c r="E436" s="512"/>
      <c r="F436" s="512"/>
      <c r="G436" s="512"/>
      <c r="H436" s="512"/>
      <c r="I436" s="512"/>
      <c r="J436" s="512"/>
      <c r="K436" s="512"/>
      <c r="L436" s="512"/>
      <c r="M436" s="512"/>
      <c r="N436" s="512"/>
      <c r="O436" s="513"/>
      <c r="P436" s="1"/>
      <c r="T436" s="14"/>
      <c r="U436" s="1"/>
      <c r="V436" s="1"/>
      <c r="W436" s="1"/>
      <c r="X436" s="1"/>
      <c r="Y436" s="1"/>
      <c r="Z436" s="1"/>
      <c r="AA436" s="1"/>
      <c r="AB436" s="1"/>
      <c r="AC436" s="1"/>
      <c r="AD436" s="1"/>
      <c r="AE436" s="13"/>
    </row>
    <row r="437" spans="1:31" ht="15.75" hidden="1" customHeight="1" thickBot="1">
      <c r="B437" s="103"/>
      <c r="C437" s="325"/>
      <c r="D437" s="514"/>
      <c r="E437" s="515"/>
      <c r="F437" s="515"/>
      <c r="G437" s="515"/>
      <c r="H437" s="515"/>
      <c r="I437" s="515"/>
      <c r="J437" s="515"/>
      <c r="K437" s="515"/>
      <c r="L437" s="515"/>
      <c r="M437" s="515"/>
      <c r="N437" s="515"/>
      <c r="O437" s="516"/>
      <c r="P437" s="1"/>
      <c r="T437" s="14"/>
      <c r="U437" s="1"/>
      <c r="V437" s="1"/>
      <c r="W437" s="1"/>
      <c r="X437" s="1"/>
      <c r="Y437" s="1"/>
      <c r="Z437" s="1"/>
      <c r="AA437" s="1"/>
      <c r="AB437" s="1"/>
      <c r="AC437" s="1"/>
      <c r="AD437" s="1"/>
      <c r="AE437" s="13"/>
    </row>
    <row r="438" spans="1:31" ht="16.5" hidden="1" customHeight="1">
      <c r="B438" s="103"/>
      <c r="C438" s="169"/>
      <c r="D438" s="517"/>
      <c r="E438" s="517"/>
      <c r="F438" s="517"/>
      <c r="G438" s="517"/>
      <c r="H438" s="517"/>
      <c r="I438" s="517"/>
      <c r="J438" s="517"/>
      <c r="K438" s="517"/>
      <c r="L438" s="517"/>
      <c r="M438" s="517"/>
      <c r="N438" s="517"/>
      <c r="O438" s="517"/>
      <c r="P438" s="1"/>
      <c r="T438" s="518" t="s">
        <v>4</v>
      </c>
      <c r="U438" s="519"/>
      <c r="V438" s="519"/>
      <c r="W438" s="519"/>
      <c r="X438" s="519"/>
      <c r="Y438" s="519"/>
      <c r="Z438" s="139"/>
      <c r="AA438" s="145"/>
      <c r="AB438" s="194">
        <f>IFERROR(IF('Mon Entreprise'!K8&gt;=Annexes!Q18,0,1-'Mon Entreprise'!M118/2/AB430),0)</f>
        <v>0</v>
      </c>
      <c r="AC438" s="1"/>
      <c r="AD438" s="1"/>
      <c r="AE438" s="13"/>
    </row>
    <row r="439" spans="1:31" ht="16.5" hidden="1" customHeight="1">
      <c r="B439" s="103"/>
      <c r="C439" s="325"/>
      <c r="D439" s="306"/>
      <c r="E439" s="306"/>
      <c r="F439" s="306"/>
      <c r="G439" s="306"/>
      <c r="H439" s="306"/>
      <c r="I439" s="306"/>
      <c r="J439" s="306"/>
      <c r="K439" s="306"/>
      <c r="L439" s="306"/>
      <c r="M439" s="306"/>
      <c r="N439" s="306"/>
      <c r="O439" s="306"/>
      <c r="P439" s="1"/>
      <c r="T439" s="110"/>
      <c r="U439" s="520" t="s">
        <v>102</v>
      </c>
      <c r="V439" s="520"/>
      <c r="W439" s="520"/>
      <c r="X439" s="520"/>
      <c r="Y439" s="520"/>
      <c r="Z439" s="139"/>
      <c r="AA439" s="145"/>
      <c r="AB439" s="194">
        <f>IFERROR(IF('Mon Entreprise'!K8&gt;Annexes!Q29,0,IF('Mon Entreprise'!K8&gt;Annexes!Q26,1,1-'Mon Entreprise'!M114/AB430)),0)</f>
        <v>0</v>
      </c>
      <c r="AC439" s="1"/>
      <c r="AD439" s="1"/>
      <c r="AE439" s="13"/>
    </row>
    <row r="440" spans="1:31" ht="16.5" hidden="1" customHeight="1">
      <c r="B440" s="103"/>
      <c r="C440" s="505" t="s">
        <v>465</v>
      </c>
      <c r="D440" s="505"/>
      <c r="E440" s="505"/>
      <c r="F440" s="505"/>
      <c r="G440" s="505"/>
      <c r="H440" s="505"/>
      <c r="I440" s="505"/>
      <c r="J440" s="505"/>
      <c r="K440" s="505"/>
      <c r="L440" s="505"/>
      <c r="M440" s="505"/>
      <c r="N440" s="505"/>
      <c r="O440" s="505"/>
      <c r="P440" s="1"/>
      <c r="T440" s="110"/>
      <c r="U440" s="520" t="s">
        <v>109</v>
      </c>
      <c r="V440" s="520"/>
      <c r="W440" s="520"/>
      <c r="X440" s="520"/>
      <c r="Y440" s="520"/>
      <c r="Z440" s="139"/>
      <c r="AA440" s="145"/>
      <c r="AB440" s="194">
        <f>IFERROR(IF(Annexes!O27&gt;'Mon Entreprise'!K8,1-'Mon Entreprise'!M98/'Mon Entreprise'!I98,0),0)</f>
        <v>0</v>
      </c>
      <c r="AC440" s="1"/>
      <c r="AD440" s="1"/>
      <c r="AE440" s="13"/>
    </row>
    <row r="441" spans="1:31" ht="16.5" hidden="1" customHeight="1">
      <c r="B441" s="103"/>
      <c r="C441" s="505"/>
      <c r="D441" s="505"/>
      <c r="E441" s="505"/>
      <c r="F441" s="505"/>
      <c r="G441" s="505"/>
      <c r="H441" s="505"/>
      <c r="I441" s="505"/>
      <c r="J441" s="505"/>
      <c r="K441" s="505"/>
      <c r="L441" s="505"/>
      <c r="M441" s="505"/>
      <c r="N441" s="505"/>
      <c r="O441" s="505"/>
      <c r="P441" s="1"/>
      <c r="T441" s="110"/>
      <c r="U441" s="321"/>
      <c r="V441" s="321"/>
      <c r="W441" s="321"/>
      <c r="X441" s="321"/>
      <c r="Y441" s="321"/>
      <c r="Z441" s="139"/>
      <c r="AA441" s="145"/>
      <c r="AB441" s="194"/>
      <c r="AC441" s="1"/>
      <c r="AD441" s="1"/>
      <c r="AE441" s="13"/>
    </row>
    <row r="442" spans="1:31" ht="16.5" hidden="1" customHeight="1">
      <c r="B442" s="103"/>
      <c r="C442" s="505"/>
      <c r="D442" s="505"/>
      <c r="E442" s="505"/>
      <c r="F442" s="505"/>
      <c r="G442" s="505"/>
      <c r="H442" s="505"/>
      <c r="I442" s="505"/>
      <c r="J442" s="505"/>
      <c r="K442" s="505"/>
      <c r="L442" s="505"/>
      <c r="M442" s="505"/>
      <c r="N442" s="505"/>
      <c r="O442" s="505"/>
      <c r="P442" s="1"/>
      <c r="T442" s="14"/>
      <c r="U442" s="521" t="s">
        <v>8</v>
      </c>
      <c r="V442" s="521"/>
      <c r="W442" s="521"/>
      <c r="X442" s="521"/>
      <c r="Y442" s="521"/>
      <c r="Z442" s="1"/>
      <c r="AA442" s="14"/>
      <c r="AB442" s="324" t="str">
        <f>IF((AND(Annexes!F5&gt;1,Annexes!F5&lt;=Annexes!H6)),"OUI","NON")</f>
        <v>NON</v>
      </c>
      <c r="AC442" s="1"/>
      <c r="AD442" s="1"/>
      <c r="AE442" s="13"/>
    </row>
    <row r="443" spans="1:31" ht="16.5" hidden="1" customHeight="1">
      <c r="B443" s="103"/>
      <c r="C443" s="505"/>
      <c r="D443" s="505"/>
      <c r="E443" s="505"/>
      <c r="F443" s="505"/>
      <c r="G443" s="505"/>
      <c r="H443" s="505"/>
      <c r="I443" s="505"/>
      <c r="J443" s="505"/>
      <c r="K443" s="505"/>
      <c r="L443" s="505"/>
      <c r="M443" s="505"/>
      <c r="N443" s="505"/>
      <c r="O443" s="505"/>
      <c r="P443" s="1"/>
      <c r="T443" s="14"/>
      <c r="U443" s="327"/>
      <c r="V443" s="327"/>
      <c r="W443" s="327"/>
      <c r="X443" s="327"/>
      <c r="Y443" s="327" t="s">
        <v>9</v>
      </c>
      <c r="Z443" s="1"/>
      <c r="AA443" s="14"/>
      <c r="AB443" s="324" t="str">
        <f>IF(AND(Annexes!F7&gt;1,Annexes!F7&lt;=Annexes!H8),"OUI","NON")</f>
        <v>NON</v>
      </c>
      <c r="AC443" s="1"/>
      <c r="AD443" s="1"/>
      <c r="AE443" s="13"/>
    </row>
    <row r="444" spans="1:31" ht="16.5" hidden="1" customHeight="1">
      <c r="B444" s="103"/>
      <c r="C444" s="325"/>
      <c r="D444" s="306"/>
      <c r="E444" s="417" t="str">
        <f>IF(AB448="NON","",IF(OR(AB442="OUI",AND(OR(AB444="OUI",AB443="OUI"),OR(AB438&gt;=Annexes!P5,AB439&gt;=Annexes!P5,'Mes Aides'!AB145&gt;=0.1)),AB445=TRUE,AB446=TRUE),"",IF(AND(OR(AB444="OUI",AB443="OUI"),OR(AB438&lt;Annexes!P5,AB439&lt;Annexes!P5,'Mes Aides'!AB198&lt;0.1)),"L'entreprise fait partie des entreprises mentionnées en annexe 2 ou 3 du décret mais n'a pas eu une perte de CA d'au-Moins 80 %, entre le 15/03/2020 et le 15/05/2020 ou Novembre 2020 ou 10 % entre 2019 et 2020","L'entreprise ne fait pas partie des entreprises ayant une fermeture administrative avec 20 % de perte et ne fait pas partie des activités mentionnées aux annexes 1, 2 et 3 ou dans un centre commercial du décret ayant une perte significative.")))</f>
        <v>L'entreprise ne fait pas partie des entreprises ayant une fermeture administrative avec 20 % de perte et ne fait pas partie des activités mentionnées aux annexes 1, 2 et 3 ou dans un centre commercial du décret ayant une perte significative.</v>
      </c>
      <c r="F444" s="417"/>
      <c r="G444" s="417"/>
      <c r="H444" s="417"/>
      <c r="I444" s="417"/>
      <c r="J444" s="417"/>
      <c r="K444" s="417"/>
      <c r="L444" s="417"/>
      <c r="M444" s="417"/>
      <c r="N444" s="417"/>
      <c r="O444" s="417"/>
      <c r="P444" s="1"/>
      <c r="T444" s="491" t="s">
        <v>455</v>
      </c>
      <c r="U444" s="490"/>
      <c r="V444" s="490"/>
      <c r="W444" s="490"/>
      <c r="X444" s="490"/>
      <c r="Y444" s="490"/>
      <c r="Z444" s="1"/>
      <c r="AA444" s="14"/>
      <c r="AB444" s="324" t="str">
        <f>IF(OR(Annexes!M17=TRUE,Annexes!M23=TRUE,Annexes!M24=TRUE),"OUI","NON")</f>
        <v>NON</v>
      </c>
      <c r="AC444" s="1"/>
      <c r="AD444" s="1"/>
      <c r="AE444" s="13"/>
    </row>
    <row r="445" spans="1:31" ht="16.5" hidden="1" customHeight="1">
      <c r="B445" s="103"/>
      <c r="C445" s="325"/>
      <c r="D445" s="306"/>
      <c r="E445" s="417"/>
      <c r="F445" s="417"/>
      <c r="G445" s="417"/>
      <c r="H445" s="417"/>
      <c r="I445" s="417"/>
      <c r="J445" s="417"/>
      <c r="K445" s="417"/>
      <c r="L445" s="417"/>
      <c r="M445" s="417"/>
      <c r="N445" s="417"/>
      <c r="O445" s="417"/>
      <c r="P445" s="1"/>
      <c r="T445" s="14"/>
      <c r="U445" s="490" t="s">
        <v>313</v>
      </c>
      <c r="V445" s="490"/>
      <c r="W445" s="490"/>
      <c r="X445" s="490"/>
      <c r="Y445" s="490"/>
      <c r="Z445" s="1"/>
      <c r="AA445" s="14"/>
      <c r="AB445" s="324" t="b">
        <f>IF(Annexes!M32=TRUE,TRUE,FALSE)</f>
        <v>0</v>
      </c>
      <c r="AC445" s="1"/>
      <c r="AD445" s="1"/>
      <c r="AE445" s="13"/>
    </row>
    <row r="446" spans="1:31" ht="16.5" hidden="1" customHeight="1">
      <c r="B446" s="168"/>
      <c r="C446" s="325"/>
      <c r="D446" s="306"/>
      <c r="E446" s="417"/>
      <c r="F446" s="417"/>
      <c r="G446" s="417"/>
      <c r="H446" s="417"/>
      <c r="I446" s="417"/>
      <c r="J446" s="417"/>
      <c r="K446" s="417"/>
      <c r="L446" s="417"/>
      <c r="M446" s="417"/>
      <c r="N446" s="417"/>
      <c r="O446" s="417"/>
      <c r="P446" s="1"/>
      <c r="T446" s="14"/>
      <c r="U446" s="490" t="s">
        <v>394</v>
      </c>
      <c r="V446" s="490"/>
      <c r="W446" s="490"/>
      <c r="X446" s="490"/>
      <c r="Y446" s="490"/>
      <c r="Z446" s="1"/>
      <c r="AA446" s="14"/>
      <c r="AB446" s="324" t="b">
        <f>IF(Annexes!M33=TRUE,TRUE,FALSE)</f>
        <v>0</v>
      </c>
      <c r="AC446" s="1"/>
      <c r="AD446" s="1"/>
      <c r="AE446" s="13"/>
    </row>
    <row r="447" spans="1:31" ht="16.5" hidden="1" customHeight="1">
      <c r="A447" s="99"/>
      <c r="B447" s="103"/>
      <c r="C447" s="325"/>
      <c r="D447" s="523" t="str">
        <f>IFERROR(IF('Mon Entreprise'!K8&gt;=Annexes!O20,IF(AB418&gt;=AB420,"- Le CA de référence est celui de Mai 2019, soit une perte de "&amp;ROUND(AB418,0)&amp;" €"&amp;" ==&gt; "&amp;ROUND(AE418*100,0)&amp;" %","- Le CA de référence est celui de la création, soit une perte de "&amp;ROUND(AB420,0)&amp;" €"&amp;" ==&gt; "&amp;ROUND(AE420*100,0)&amp;" %"),IF(AB418&gt;=AB419,"- Le CA de référence est celui de Mai 2019, soit une perte de "&amp;ROUND(AB418,0)&amp;" €"&amp;" ==&gt; "&amp;ROUND(AE418*100,0)&amp;" %","- Le CA de référence est celui de l'exercice 2019, soit une perte de "&amp;ROUND(AB419,0)&amp;" €"&amp;" ==&gt; "&amp;ROUND(AE419*100,0)&amp;" %")),"")</f>
        <v>- Le CA de référence est celui de Mai 2019, soit une perte de 0 € ==&gt; 0 %</v>
      </c>
      <c r="E447" s="523"/>
      <c r="F447" s="523"/>
      <c r="G447" s="523"/>
      <c r="H447" s="523"/>
      <c r="I447" s="523"/>
      <c r="J447" s="523"/>
      <c r="K447" s="523"/>
      <c r="L447" s="523"/>
      <c r="M447" s="523"/>
      <c r="N447" s="523"/>
      <c r="O447" s="523"/>
      <c r="P447" s="1"/>
      <c r="T447" s="14"/>
      <c r="U447" s="324"/>
      <c r="V447" s="324"/>
      <c r="W447" s="324"/>
      <c r="X447" s="324"/>
      <c r="Y447" s="324"/>
      <c r="Z447" s="1"/>
      <c r="AA447" s="14"/>
      <c r="AB447" s="324"/>
      <c r="AC447" s="1"/>
      <c r="AD447" s="1"/>
      <c r="AE447" s="13"/>
    </row>
    <row r="448" spans="1:31" ht="16.5" hidden="1" customHeight="1">
      <c r="A448" s="99"/>
      <c r="B448" s="103"/>
      <c r="C448" s="325"/>
      <c r="D448" s="524" t="str">
        <f>IFERROR(IF('Mon Entreprise'!K8&gt;=Annexes!O20,"",IF(AB418&lt;AB419,"A noter qu'il convient de choisir l'option retenue par l'entreprise lors de sa demande au titre du mois Février 2021, ou a défaut celui du mois de Mars, d'Avril 2021, si le CA de référence était celui de février 2019,"&amp;" il convient de prendre celui de Mai 2019 (...), soit "&amp;ROUND(AB418,0)&amp;" €"&amp;" ==&gt; "&amp;ROUND(AE418*100,0)&amp;" %","A noter qu'il convient de choisir l'option retenue par l'entreprise lors de sa demande"&amp;" au titre du mois Février 2021,  ou a défaut celui du mois de Mars, d'Avril 2021, si le CA de référence était celui de l'exercice 2019, il convient de prendre celui de l'exercie 2019, soit une perte de "&amp;ROUND(AB419,0)&amp;" €"&amp;" ==&gt; "&amp;ROUND(AE419*100,0)&amp;" %")),"")</f>
        <v>A noter qu'il convient de choisir l'option retenue par l'entreprise lors de sa demande au titre du mois Février 2021,  ou a défaut celui du mois de Mars, d'Avril 2021, si le CA de référence était celui de l'exercice 2019, il convient de prendre celui de l'exercie 2019, soit une perte de 0 € ==&gt; 0 %</v>
      </c>
      <c r="E448" s="524"/>
      <c r="F448" s="524"/>
      <c r="G448" s="524"/>
      <c r="H448" s="524"/>
      <c r="I448" s="524"/>
      <c r="J448" s="524"/>
      <c r="K448" s="524"/>
      <c r="L448" s="524"/>
      <c r="M448" s="524"/>
      <c r="N448" s="524"/>
      <c r="O448" s="524"/>
      <c r="P448" s="1"/>
      <c r="T448" s="14"/>
      <c r="U448" s="525" t="s">
        <v>72</v>
      </c>
      <c r="V448" s="525"/>
      <c r="W448" s="525"/>
      <c r="X448" s="525"/>
      <c r="Y448" s="525"/>
      <c r="Z448" s="139"/>
      <c r="AA448" s="145"/>
      <c r="AB448" s="323" t="str">
        <f>IF(AB429="Oui","Oui","Non")</f>
        <v>Oui</v>
      </c>
      <c r="AC448" s="139"/>
      <c r="AD448" s="1"/>
      <c r="AE448" s="13"/>
    </row>
    <row r="449" spans="1:31" ht="16.5" hidden="1" customHeight="1">
      <c r="A449" s="99"/>
      <c r="B449" s="103"/>
      <c r="C449" s="325"/>
      <c r="D449" s="524"/>
      <c r="E449" s="524"/>
      <c r="F449" s="524"/>
      <c r="G449" s="524"/>
      <c r="H449" s="524"/>
      <c r="I449" s="524"/>
      <c r="J449" s="524"/>
      <c r="K449" s="524"/>
      <c r="L449" s="524"/>
      <c r="M449" s="524"/>
      <c r="N449" s="524"/>
      <c r="O449" s="524"/>
      <c r="P449" s="1"/>
      <c r="T449" s="14"/>
      <c r="U449" s="525" t="s">
        <v>84</v>
      </c>
      <c r="V449" s="525"/>
      <c r="W449" s="525"/>
      <c r="X449" s="525"/>
      <c r="Y449" s="525"/>
      <c r="Z449" s="139"/>
      <c r="AA449" s="145"/>
      <c r="AB449" s="323">
        <f>IF('Mon Entreprise'!K8&gt;=Annexes!O20,IF(AB418&gt;=AB420,AB418,AB420),IF(AB418&gt;=AB419,AB418,AB419))</f>
        <v>0</v>
      </c>
      <c r="AC449" s="139"/>
      <c r="AD449" s="1"/>
      <c r="AE449" s="13"/>
    </row>
    <row r="450" spans="1:31" ht="16.5" hidden="1" customHeight="1">
      <c r="B450" s="103"/>
      <c r="C450" s="325"/>
      <c r="D450" s="215" t="str">
        <f>IF(OR(AB442="OUI",AB445=TRUE),"- Sans ticket modérateur",IF(AND(OR(AB444="OUI",AB443="OUI"),OR(AB438&gt;=0.8,AB439&gt;=0.8,AB440&gt;=0.1)),"- La Perte de référence est plafonnée à 80 %, soit "&amp;ROUND(AB453,0)&amp;" €","- Sans ticket modérateur"))</f>
        <v>- Sans ticket modérateur</v>
      </c>
      <c r="E450" s="320"/>
      <c r="F450" s="320"/>
      <c r="G450" s="320"/>
      <c r="H450" s="320"/>
      <c r="I450" s="320"/>
      <c r="J450" s="320"/>
      <c r="K450" s="320"/>
      <c r="L450" s="320"/>
      <c r="M450" s="320"/>
      <c r="N450" s="320"/>
      <c r="O450" s="320"/>
      <c r="P450" s="1"/>
      <c r="T450" s="14"/>
      <c r="U450" s="525" t="s">
        <v>85</v>
      </c>
      <c r="V450" s="525"/>
      <c r="W450" s="525"/>
      <c r="X450" s="525"/>
      <c r="Y450" s="525"/>
      <c r="Z450" s="139"/>
      <c r="AA450" s="145"/>
      <c r="AB450" s="323">
        <f>IF('Mon Entreprise'!K8&gt;=Annexes!O20,IF(AB418&gt;=AB420,AE418,AE420),IF(AB418&gt;=AB419,AE418,AE419))</f>
        <v>0</v>
      </c>
      <c r="AC450" s="139"/>
      <c r="AD450" s="1"/>
      <c r="AE450" s="13"/>
    </row>
    <row r="451" spans="1:31" ht="16.5" hidden="1" customHeight="1" thickBot="1">
      <c r="B451" s="103"/>
      <c r="C451" s="325"/>
      <c r="D451" s="320"/>
      <c r="E451" s="320"/>
      <c r="F451" s="320"/>
      <c r="G451" s="320"/>
      <c r="H451" s="320"/>
      <c r="I451" s="320"/>
      <c r="J451" s="320"/>
      <c r="K451" s="320"/>
      <c r="L451" s="320"/>
      <c r="M451" s="320"/>
      <c r="N451" s="320"/>
      <c r="O451" s="320"/>
      <c r="P451" s="1"/>
      <c r="T451" s="14"/>
      <c r="U451" s="502" t="s">
        <v>74</v>
      </c>
      <c r="V451" s="502"/>
      <c r="W451" s="502"/>
      <c r="X451" s="502"/>
      <c r="Y451" s="502"/>
      <c r="Z451" s="139"/>
      <c r="AA451" s="145"/>
      <c r="AB451" s="323">
        <f>IF(OR(AB442="OUI",AB445=TRUE),1,IF(AND(OR(AB444="OUI",AB443="OUI"),OR(AB438&gt;=0.8,AB439&gt;=0.8,AB440&gt;=0.1)),0.8,1))</f>
        <v>1</v>
      </c>
      <c r="AC451" s="139"/>
      <c r="AD451" s="1"/>
      <c r="AE451" s="13"/>
    </row>
    <row r="452" spans="1:31" ht="16.5" hidden="1" customHeight="1">
      <c r="B452" s="103"/>
      <c r="C452" s="325"/>
      <c r="D452" s="508" t="str">
        <f>IFERROR(IF(AB448="NON","Vous avez débuté votre activité après le 31 Janvier 2020, vous ne pouvez donc pas bénéficier de cette aide",IF(OR(AB445=TRUE,AND(AB446=TRUE,AB450&gt;=0.5)),IF(AB453&gt;Annexes!O6,"Dans votre cas, l'aide est Plafonnée, à "&amp;Annexes!O6&amp;" € pour le mois de Mai","Vous pouvez bénéficier, au titre de cette aide, d'un montant de "&amp;ROUND(AB453,0)&amp;" € pour le mois de Mai"),IF(AB450&gt;=0.5,IF(OR(AB442="OUI",AND(OR(AB444="OUI",AB443="OUI"),OR(AB438&gt;=Annexes!P5,AB439&gt;=Annexes!P5,AB440&gt;=0.1))),IF(AB453&gt;Annexes!O6,"Dans votre cas, l'aide est Plafonnée, à "&amp;Annexes!O6&amp;" € pour le mois de Mai","Vous pouvez bénéficier, au titre de cette aide, d'un montant de "&amp;ROUND(AB453,0)&amp;" € pour le mois de Mai"),IF(AND(OR(AB444="OUI",AB443="OUI"),OR(AB438&lt;Annexes!P5,AB439&lt;Annexes!P5)),"L'entreprise fait partie des entreprises mentionnées en annexe 2 ou 3 ou dans un centre commercial du décret, mais n'a pas eu une perte de CA d'au-Moins 80 % entre le 15/03/2020 et le 15/05/2020 "&amp;"ou au mois de Novembre 2020 ou 10 % de perte entre 2019 et 2020","L'entreprise ne fait pas partie des entreprises"&amp;" ayant une fermeture administrative avec une perte de 20 % de CA et ne fait pas partie des activités mentionnées aux annexes 1, 2 et 3 ou dans un centre commercial du décret")),"L'entreprise n'a pas une perte d'au moins 50 % en Mai 2021"))),"Vous n'avez pas indiqué de chiffre d'affaires de référence")</f>
        <v>L'entreprise n'a pas une perte d'au moins 50 % en Mai 2021</v>
      </c>
      <c r="E452" s="509"/>
      <c r="F452" s="509"/>
      <c r="G452" s="509"/>
      <c r="H452" s="509"/>
      <c r="I452" s="509"/>
      <c r="J452" s="509"/>
      <c r="K452" s="509"/>
      <c r="L452" s="509"/>
      <c r="M452" s="509"/>
      <c r="N452" s="509"/>
      <c r="O452" s="510"/>
      <c r="P452" s="1"/>
      <c r="T452" s="14"/>
      <c r="U452" s="502" t="s">
        <v>80</v>
      </c>
      <c r="V452" s="502"/>
      <c r="W452" s="502"/>
      <c r="X452" s="502"/>
      <c r="Y452" s="502"/>
      <c r="Z452" s="139"/>
      <c r="AA452" s="145"/>
      <c r="AB452" s="323">
        <f>IF('Mon Entreprise'!K8&gt;=Annexes!O20,IF(AB418&gt;=AB420,Y418,Y420),IF(AB418&gt;=AB419,Y418,Y419))</f>
        <v>0</v>
      </c>
      <c r="AC452" s="139"/>
      <c r="AD452" s="1"/>
      <c r="AE452" s="13"/>
    </row>
    <row r="453" spans="1:31" ht="16.5" hidden="1" customHeight="1">
      <c r="B453" s="173"/>
      <c r="C453" s="325"/>
      <c r="D453" s="511"/>
      <c r="E453" s="512"/>
      <c r="F453" s="512"/>
      <c r="G453" s="512"/>
      <c r="H453" s="512"/>
      <c r="I453" s="512"/>
      <c r="J453" s="512"/>
      <c r="K453" s="512"/>
      <c r="L453" s="512"/>
      <c r="M453" s="512"/>
      <c r="N453" s="512"/>
      <c r="O453" s="513"/>
      <c r="P453" s="1"/>
      <c r="T453" s="14"/>
      <c r="U453" s="490" t="s">
        <v>104</v>
      </c>
      <c r="V453" s="490"/>
      <c r="W453" s="490"/>
      <c r="X453" s="490"/>
      <c r="Y453" s="490"/>
      <c r="Z453" s="1"/>
      <c r="AA453" s="14"/>
      <c r="AB453" s="324">
        <f>IF(AB451=1,AB449,IF(AB449*AB451&gt;1500,IF(AB449&gt;1500,AB449*AB451,"Impossible"),IF(AB449&lt;1500,AB449,1500)))</f>
        <v>0</v>
      </c>
      <c r="AC453" s="1"/>
      <c r="AD453" s="1"/>
      <c r="AE453" s="13"/>
    </row>
    <row r="454" spans="1:31" ht="16.5" hidden="1" customHeight="1">
      <c r="B454" s="103"/>
      <c r="C454" s="325"/>
      <c r="D454" s="511"/>
      <c r="E454" s="512"/>
      <c r="F454" s="512"/>
      <c r="G454" s="512"/>
      <c r="H454" s="512"/>
      <c r="I454" s="512"/>
      <c r="J454" s="512"/>
      <c r="K454" s="512"/>
      <c r="L454" s="512"/>
      <c r="M454" s="512"/>
      <c r="N454" s="512"/>
      <c r="O454" s="513"/>
      <c r="P454" s="1"/>
      <c r="T454" s="14"/>
      <c r="U454" s="324"/>
      <c r="V454" s="324"/>
      <c r="W454" s="324"/>
      <c r="X454" s="324"/>
      <c r="Y454" s="324"/>
      <c r="Z454" s="1"/>
      <c r="AA454" s="1"/>
      <c r="AB454" s="1"/>
      <c r="AC454" s="1"/>
      <c r="AD454" s="1"/>
      <c r="AE454" s="13"/>
    </row>
    <row r="455" spans="1:31" ht="16.5" hidden="1" customHeight="1" thickBot="1">
      <c r="B455" s="103"/>
      <c r="C455" s="325"/>
      <c r="D455" s="514"/>
      <c r="E455" s="515"/>
      <c r="F455" s="515"/>
      <c r="G455" s="515"/>
      <c r="H455" s="515"/>
      <c r="I455" s="515"/>
      <c r="J455" s="515"/>
      <c r="K455" s="515"/>
      <c r="L455" s="515"/>
      <c r="M455" s="515"/>
      <c r="N455" s="515"/>
      <c r="O455" s="516"/>
      <c r="P455" s="1"/>
      <c r="T455" s="14"/>
      <c r="U455" s="490"/>
      <c r="V455" s="490"/>
      <c r="W455" s="490"/>
      <c r="X455" s="490"/>
      <c r="Y455" s="490"/>
      <c r="Z455" s="1"/>
      <c r="AA455" s="1"/>
      <c r="AB455" s="1"/>
      <c r="AC455" s="1"/>
      <c r="AD455" s="1"/>
      <c r="AE455" s="13"/>
    </row>
    <row r="456" spans="1:31" ht="16.5" hidden="1" customHeight="1">
      <c r="B456" s="103"/>
      <c r="C456" s="169"/>
      <c r="D456" s="174"/>
      <c r="E456" s="174"/>
      <c r="F456" s="174"/>
      <c r="G456" s="174"/>
      <c r="H456" s="174"/>
      <c r="I456" s="174"/>
      <c r="J456" s="174"/>
      <c r="K456" s="174"/>
      <c r="L456" s="174"/>
      <c r="M456" s="174"/>
      <c r="N456" s="174"/>
      <c r="O456" s="174"/>
      <c r="P456" s="1"/>
      <c r="T456" s="14"/>
      <c r="U456" s="324"/>
      <c r="V456" s="324"/>
      <c r="W456" s="324"/>
      <c r="X456" s="324"/>
      <c r="Y456" s="324"/>
      <c r="Z456" s="1"/>
      <c r="AA456" s="1"/>
      <c r="AB456" s="1"/>
      <c r="AC456" s="1"/>
      <c r="AD456" s="1"/>
      <c r="AE456" s="13"/>
    </row>
    <row r="457" spans="1:31" ht="16.5" hidden="1" customHeight="1">
      <c r="B457" s="103"/>
      <c r="C457" s="325"/>
      <c r="D457" s="320"/>
      <c r="E457" s="320"/>
      <c r="F457" s="320"/>
      <c r="G457" s="320"/>
      <c r="H457" s="320"/>
      <c r="I457" s="320"/>
      <c r="J457" s="320"/>
      <c r="K457" s="320"/>
      <c r="L457" s="320"/>
      <c r="M457" s="320"/>
      <c r="N457" s="320"/>
      <c r="O457" s="320"/>
      <c r="P457" s="1"/>
      <c r="T457" s="14"/>
      <c r="U457" s="1"/>
      <c r="V457" s="1"/>
      <c r="W457" s="1"/>
      <c r="X457" s="1"/>
      <c r="Y457" s="1"/>
      <c r="Z457" s="1"/>
      <c r="AA457" s="1"/>
      <c r="AB457" s="1"/>
      <c r="AC457" s="1"/>
      <c r="AD457" s="1"/>
      <c r="AE457" s="13"/>
    </row>
    <row r="458" spans="1:31" ht="16.5" hidden="1" customHeight="1">
      <c r="B458" s="103"/>
      <c r="C458" s="529" t="s">
        <v>464</v>
      </c>
      <c r="D458" s="529"/>
      <c r="E458" s="529"/>
      <c r="F458" s="529"/>
      <c r="G458" s="529"/>
      <c r="H458" s="529"/>
      <c r="I458" s="529"/>
      <c r="J458" s="529"/>
      <c r="K458" s="529"/>
      <c r="L458" s="529"/>
      <c r="M458" s="529"/>
      <c r="N458" s="529"/>
      <c r="O458" s="529"/>
      <c r="P458" s="1"/>
      <c r="T458" s="14"/>
      <c r="U458" s="1"/>
      <c r="V458" s="1"/>
      <c r="W458" s="1"/>
      <c r="X458" s="1"/>
      <c r="Y458" s="1"/>
      <c r="Z458" s="1"/>
      <c r="AA458" s="1"/>
      <c r="AB458" s="1"/>
      <c r="AC458" s="1"/>
      <c r="AD458" s="1"/>
      <c r="AE458" s="13"/>
    </row>
    <row r="459" spans="1:31" ht="16.5" hidden="1" customHeight="1">
      <c r="B459" s="103"/>
      <c r="C459" s="529"/>
      <c r="D459" s="529"/>
      <c r="E459" s="529"/>
      <c r="F459" s="529"/>
      <c r="G459" s="529"/>
      <c r="H459" s="529"/>
      <c r="I459" s="529"/>
      <c r="J459" s="529"/>
      <c r="K459" s="529"/>
      <c r="L459" s="529"/>
      <c r="M459" s="529"/>
      <c r="N459" s="529"/>
      <c r="O459" s="529"/>
      <c r="P459" s="1"/>
      <c r="T459" s="14"/>
      <c r="U459" s="1"/>
      <c r="V459" s="1"/>
      <c r="W459" s="1"/>
      <c r="X459" s="1"/>
      <c r="Y459" s="1"/>
      <c r="Z459" s="1"/>
      <c r="AA459" s="1"/>
      <c r="AB459" s="1"/>
      <c r="AC459" s="1"/>
      <c r="AD459" s="1"/>
      <c r="AE459" s="13"/>
    </row>
    <row r="460" spans="1:31" ht="16.5" hidden="1" customHeight="1">
      <c r="B460" s="103"/>
      <c r="C460" s="529"/>
      <c r="D460" s="529"/>
      <c r="E460" s="529"/>
      <c r="F460" s="529"/>
      <c r="G460" s="529"/>
      <c r="H460" s="529"/>
      <c r="I460" s="529"/>
      <c r="J460" s="529"/>
      <c r="K460" s="529"/>
      <c r="L460" s="529"/>
      <c r="M460" s="529"/>
      <c r="N460" s="529"/>
      <c r="O460" s="529"/>
      <c r="P460" s="1"/>
      <c r="T460" s="14"/>
      <c r="U460" s="1"/>
      <c r="V460" s="1"/>
      <c r="W460" s="1"/>
      <c r="X460" s="1"/>
      <c r="Y460" s="1"/>
      <c r="Z460" s="1"/>
      <c r="AA460" s="1"/>
      <c r="AB460" s="1"/>
      <c r="AC460" s="1"/>
      <c r="AD460" s="1"/>
      <c r="AE460" s="13"/>
    </row>
    <row r="461" spans="1:31" ht="16.5" hidden="1" customHeight="1">
      <c r="B461" s="173"/>
      <c r="C461" s="529"/>
      <c r="D461" s="529"/>
      <c r="E461" s="529"/>
      <c r="F461" s="529"/>
      <c r="G461" s="529"/>
      <c r="H461" s="529"/>
      <c r="I461" s="529"/>
      <c r="J461" s="529"/>
      <c r="K461" s="529"/>
      <c r="L461" s="529"/>
      <c r="M461" s="529"/>
      <c r="N461" s="529"/>
      <c r="O461" s="529"/>
      <c r="P461" s="1"/>
      <c r="T461" s="14"/>
      <c r="U461" s="1"/>
      <c r="V461" s="1"/>
      <c r="W461" s="1"/>
      <c r="X461" s="1"/>
      <c r="Y461" s="1"/>
      <c r="Z461" s="1"/>
      <c r="AA461" s="1"/>
      <c r="AB461" s="1"/>
      <c r="AC461" s="1"/>
      <c r="AD461" s="1"/>
      <c r="AE461" s="13"/>
    </row>
    <row r="462" spans="1:31" ht="16.5" hidden="1" customHeight="1">
      <c r="B462" s="173"/>
      <c r="C462" s="325"/>
      <c r="D462" s="306"/>
      <c r="E462" s="523" t="str">
        <f>IF(AB448="NON","",IF(OR(AB442="OUI",AND(OR(AB444="OUI",AB443="OUI"),OR(AB438&gt;=Annexes!P5,AB439&gt;=Annexes!P5,'Mes Aides'!AB145&gt;=0.1)),AB445=TRUE,AB446=TRUE),"",IF(AND(OR(AB444="OUI",AB443="OUI"),OR(AB438&lt;Annexes!P5,AB439&lt;Annexes!P5,'Mes Aides'!AB145&lt;0.1)),"L'entreprise fait partie des entreprises mentionnées en annexe 2 ou 3 ou dans un centre commercial du décret mais n'a pas eu une perte de CA d'au-Moins 80 %, entre le 15/03/2020 et le 15/05/2020 ou Novembre 2020 ou 10 % entre 2019 et 2020","L'entreprise ne fait pas partie des entreprises ayant une fermeture administrative sur le mois avec une perte de 20 % de CA et ne fait pas partie des activités mentionnées aux annexes 1, 2 et 3 ou dans un centre commercial du décret.")))</f>
        <v>L'entreprise ne fait pas partie des entreprises ayant une fermeture administrative sur le mois avec une perte de 20 % de CA et ne fait pas partie des activités mentionnées aux annexes 1, 2 et 3 ou dans un centre commercial du décret.</v>
      </c>
      <c r="F462" s="523"/>
      <c r="G462" s="523"/>
      <c r="H462" s="523"/>
      <c r="I462" s="523"/>
      <c r="J462" s="523"/>
      <c r="K462" s="523"/>
      <c r="L462" s="523"/>
      <c r="M462" s="523"/>
      <c r="N462" s="523"/>
      <c r="O462" s="523"/>
      <c r="P462" s="1"/>
      <c r="T462" s="14"/>
      <c r="U462" s="502" t="s">
        <v>82</v>
      </c>
      <c r="V462" s="502"/>
      <c r="W462" s="502"/>
      <c r="X462" s="502"/>
      <c r="Y462" s="502"/>
      <c r="Z462" s="68"/>
      <c r="AA462" s="1"/>
      <c r="AB462" s="1">
        <f>IFERROR(IF(AB429="Non",0,IF(OR(AB445=TRUE,AND(AB432&lt;0.5,AB446=TRUE),(AB432&gt;=0.5)),IF(AB431&gt;Annexes!O5,Annexes!O5,ROUND(AB431,0)),0)),0)</f>
        <v>0</v>
      </c>
      <c r="AC462" s="1"/>
      <c r="AD462" s="1"/>
      <c r="AE462" s="13"/>
    </row>
    <row r="463" spans="1:31" ht="15" hidden="1" customHeight="1">
      <c r="B463" s="173"/>
      <c r="C463" s="325"/>
      <c r="D463" s="306"/>
      <c r="E463" s="523"/>
      <c r="F463" s="523"/>
      <c r="G463" s="523"/>
      <c r="H463" s="523"/>
      <c r="I463" s="523"/>
      <c r="J463" s="523"/>
      <c r="K463" s="523"/>
      <c r="L463" s="523"/>
      <c r="M463" s="523"/>
      <c r="N463" s="523"/>
      <c r="O463" s="523"/>
      <c r="P463" s="1"/>
      <c r="T463" s="14"/>
      <c r="U463" s="502" t="s">
        <v>81</v>
      </c>
      <c r="V463" s="502"/>
      <c r="W463" s="502"/>
      <c r="X463" s="502"/>
      <c r="Y463" s="502"/>
      <c r="Z463" s="68"/>
      <c r="AA463" s="1"/>
      <c r="AB463" s="1">
        <f>IFERROR(IF(AB448="NON",0,IF(OR(AB445=TRUE,AND(AB446=TRUE,AB450&gt;=0.5)),IF(AB453&gt;Annexes!O6,Annexes!O6,ROUND(AB453,0)),IF(AB450&gt;=0.5,IF(OR(AB442="OUI",AND(OR(AB444="OUI",AB443="OUI"),OR(AB438&gt;=Annexes!P5,AB439&gt;=Annexes!P5,AB440&gt;=0.1))),IF(AB453&gt;Annexes!O6,Annexes!O6,ROUND(AB453,0)),IF(AND(OR(AB444="OUI",AB443="OUI"),OR(AB438&lt;Annexes!P5,AB439&lt;Annexes!P5)),0,0)),0))),0)</f>
        <v>0</v>
      </c>
      <c r="AC463" s="1"/>
      <c r="AD463" s="1"/>
      <c r="AE463" s="13"/>
    </row>
    <row r="464" spans="1:31" ht="15" hidden="1" customHeight="1">
      <c r="B464" s="173"/>
      <c r="C464" s="325"/>
      <c r="D464" s="306"/>
      <c r="E464" s="523"/>
      <c r="F464" s="523"/>
      <c r="G464" s="523"/>
      <c r="H464" s="523"/>
      <c r="I464" s="523"/>
      <c r="J464" s="523"/>
      <c r="K464" s="523"/>
      <c r="L464" s="523"/>
      <c r="M464" s="523"/>
      <c r="N464" s="523"/>
      <c r="O464" s="523"/>
      <c r="P464" s="1"/>
      <c r="T464" s="14"/>
      <c r="U464" s="502" t="s">
        <v>399</v>
      </c>
      <c r="V464" s="502"/>
      <c r="W464" s="502"/>
      <c r="X464" s="502"/>
      <c r="Y464" s="502"/>
      <c r="Z464" s="68"/>
      <c r="AA464" s="1"/>
      <c r="AB464" s="1">
        <f>IFERROR(IF(AB448="NON",0,IF(OR(AB445=TRUE,AND(AB446=TRUE,AB450&gt;=0.5)),IF(AB452=0,0,IF(AB449&lt;AB452*0.2,ROUND(AB449,0),IF(AB452*0.2&gt;=200000,Annexes!O8,ROUND(AB452*0.2,0)))),IF(OR(AB442="OUI",AND(AB443="OUI",OR(AB438&gt;=0.8,AB439&gt;=0.8,AB440&gt;=0.1))),IF(AB450&gt;=0.7,IF(AB449&lt;AB452*0.2,ROUND(AB449,0),IF(AB452*0.2&gt;=200000,Annexes!O8,ROUND(AB452*0.2,0))),IF(AB450&gt;=0.5,IF(AB449&lt;AB452*0.15,ROUND(AB449,0),IF(AB452*0.15&gt;=200000,Annexes!O8,ROUND(AB452*0.15,0))),IF(AND(AB444="OUI",OR(AB438&gt;=0.8,AB439&gt;=0.8,AB440&gt;=0.1),AB450&gt;=0.7),IF(AB449&lt;AB452*0.2,ROUND(AB449,0),IF(AB452*0.2&gt;=200000,Annexes!O8,ROUND(AB452*0.2,0))),0))),IF(AND(AB444="OUI",OR(AB438&gt;=0.8,AB439&gt;=0.8,AB440&gt;=0.1),AB450&gt;=0.7),IF(AB449&lt;AB452*0.2,ROUND(AB449,0),IF(AB452*0.2&gt;=200000,Annexes!O8,ROUND(AB452*0.2,0))),0)))),0)</f>
        <v>0</v>
      </c>
      <c r="AC464" s="1"/>
      <c r="AD464" s="1"/>
      <c r="AE464" s="13"/>
    </row>
    <row r="465" spans="2:31" ht="16.5" hidden="1" customHeight="1">
      <c r="B465" s="173"/>
      <c r="C465" s="325"/>
      <c r="D465" s="417" t="str">
        <f>IFERROR(IF('Mon Entreprise'!K8&gt;=Annexes!O20,IF(AB418&gt;=AB420,"- Le CA de référence est celui de Mai 2019, soit une perte de "&amp;ROUND(AB418,0)&amp;" €"&amp;" ==&gt; "&amp;ROUND(AE418*100,0)&amp;" %","- Le CA de référence est celui de la création, soit une perte de "&amp;ROUND(AB420,0)&amp;" €"&amp;" ==&gt; "&amp;ROUND(AE420*100,0)&amp;" %"),IF(AB418&gt;=AB419,"- Le CA de référence est celui de Mai 2019, soit une perte de "&amp;ROUND(AB418,0)&amp;" €"&amp;" ==&gt; "&amp;ROUND(AE418*100,0)&amp;" %","- Le CA de référence est celui de l'exercice 2019, soit une perte de "&amp;ROUND(AB419,0)&amp;" €"&amp;" ==&gt; "&amp;ROUND(AE419*100,0)&amp;" %")),"")</f>
        <v>- Le CA de référence est celui de Mai 2019, soit une perte de 0 € ==&gt; 0 %</v>
      </c>
      <c r="E465" s="417"/>
      <c r="F465" s="417"/>
      <c r="G465" s="417"/>
      <c r="H465" s="417"/>
      <c r="I465" s="417"/>
      <c r="J465" s="417"/>
      <c r="K465" s="417"/>
      <c r="L465" s="417"/>
      <c r="M465" s="417"/>
      <c r="N465" s="417"/>
      <c r="O465" s="417"/>
      <c r="P465" s="320"/>
      <c r="Q465" s="320"/>
      <c r="T465" s="14"/>
      <c r="U465" s="1"/>
      <c r="V465" s="1"/>
      <c r="W465" s="1"/>
      <c r="X465" s="1"/>
      <c r="Y465" s="1"/>
      <c r="Z465" s="1"/>
      <c r="AA465" s="1"/>
      <c r="AB465" s="1"/>
      <c r="AC465" s="1"/>
      <c r="AD465" s="1"/>
      <c r="AE465" s="13"/>
    </row>
    <row r="466" spans="2:31" ht="16.5" hidden="1" customHeight="1">
      <c r="B466" s="173"/>
      <c r="C466" s="325"/>
      <c r="D466" s="524" t="str">
        <f>IFERROR(IF('Mon Entreprise'!K8&gt;=Annexes!O20,"",IF(AB418&lt;AB419,"A noter qu'il convient de choisir l'option retenue par l'entreprise lors de sa demande au titre du mois Février 2021,  ou a défaut celui du mois de Mars, d'Avril 2021, si le CA de référence était celui de février 2019, il convient"&amp;" de prendre celui de Mai 2019 (...), soit "&amp;ROUND(AB418,0)&amp;" €"&amp;" ==&gt; "&amp;ROUND(AE418*100,0)&amp;" %","A noter qu'il convient de choisir l'option retenue par l'entreprise lors de sa demande au titre du mois Février 2021, "&amp;"ou a défaut celui du mois de Mars, d'Avril 2021, si le CA de référence était celui de l'exercice 2019, il convient de prendre celui de l'exercie 2019, soit une perte de "&amp;ROUND(AB419,0)&amp;" €"&amp;" ==&gt; "&amp;ROUND(AE419*100,0)&amp;" %")),"")</f>
        <v>A noter qu'il convient de choisir l'option retenue par l'entreprise lors de sa demande au titre du mois Février 2021, ou a défaut celui du mois de Mars, d'Avril 2021, si le CA de référence était celui de l'exercice 2019, il convient de prendre celui de l'exercie 2019, soit une perte de 0 € ==&gt; 0 %</v>
      </c>
      <c r="E466" s="524"/>
      <c r="F466" s="524"/>
      <c r="G466" s="524"/>
      <c r="H466" s="524"/>
      <c r="I466" s="524"/>
      <c r="J466" s="524"/>
      <c r="K466" s="524"/>
      <c r="L466" s="524"/>
      <c r="M466" s="524"/>
      <c r="N466" s="524"/>
      <c r="O466" s="524"/>
      <c r="P466" s="320"/>
      <c r="Q466" s="320"/>
      <c r="T466" s="14"/>
      <c r="U466" s="1"/>
      <c r="V466" s="1"/>
      <c r="W466" s="1"/>
      <c r="X466" s="1"/>
      <c r="Y466" s="1"/>
      <c r="Z466" s="1"/>
      <c r="AA466" s="1"/>
      <c r="AB466" s="1"/>
      <c r="AC466" s="1"/>
      <c r="AD466" s="1"/>
      <c r="AE466" s="13"/>
    </row>
    <row r="467" spans="2:31" ht="16.5" hidden="1" customHeight="1">
      <c r="B467" s="173"/>
      <c r="C467" s="325"/>
      <c r="D467" s="524"/>
      <c r="E467" s="524"/>
      <c r="F467" s="524"/>
      <c r="G467" s="524"/>
      <c r="H467" s="524"/>
      <c r="I467" s="524"/>
      <c r="J467" s="524"/>
      <c r="K467" s="524"/>
      <c r="L467" s="524"/>
      <c r="M467" s="524"/>
      <c r="N467" s="524"/>
      <c r="O467" s="524"/>
      <c r="P467" s="320"/>
      <c r="Q467" s="320"/>
      <c r="T467" s="14"/>
      <c r="U467" s="1"/>
      <c r="V467" s="1"/>
      <c r="W467" s="1"/>
      <c r="X467" s="1"/>
      <c r="Y467" s="1"/>
      <c r="Z467" s="1"/>
      <c r="AA467" s="1"/>
      <c r="AB467" s="1"/>
      <c r="AC467" s="1"/>
      <c r="AD467" s="1"/>
      <c r="AE467" s="13"/>
    </row>
    <row r="468" spans="2:31" ht="16.5" hidden="1" customHeight="1">
      <c r="B468" s="103"/>
      <c r="C468" s="325"/>
      <c r="D468" s="523" t="str">
        <f>IF(OR(AB445=TRUE,AND(AB446=TRUE,AB450&gt;=0.5)),"- L'entreprise peut bénéficier d'une aide de 20 % du CA de référence, plafonnée à 200 000 €",IF(OR(AB442="OUI",AND(AB443="OUI",OR(AB438&gt;=0.8,AB439&gt;=0.8,AB440&gt;=0.1))),IF(AB450&gt;=0.7,"- L'entreprise peut bénéficier d'une aide de 20 % du CA de référence, plafonnée à 200 000 €",IF(AB450&gt;=0.5,"- L'entreprise peut bénéficier d'une aide de 15 % du CA de référence, plafonnée à 200 000 €","- L'entreprise n'a subi ni de fermeture administrative avec une perte de 20 % de CA au mois de Mai, ni de perte d'au moins 50 % de son CA")),IF(AND(AB444="OUI",OR(AB438&gt;=0.8,AB439&gt;=0.8,AB440&gt;=0.1),AB450&gt;=0.5),"- L'entreprise peut bénéficier d'une aide de 20 % du CA de référence, plafonnée à 200 000 €","- L'entreprise ne fait ni partie des fermetures administratives avec une perte de 20 % du CA au mois de Mai, ni des activités mentionnées en annexe 1 (S1) ou en annexe 2 (S1 bis) ou Annexe 3 ou dans un centre commercial ayant une perte significative")))</f>
        <v>- L'entreprise ne fait ni partie des fermetures administratives avec une perte de 20 % du CA au mois de Mai, ni des activités mentionnées en annexe 1 (S1) ou en annexe 2 (S1 bis) ou Annexe 3 ou dans un centre commercial ayant une perte significative</v>
      </c>
      <c r="E468" s="523"/>
      <c r="F468" s="523"/>
      <c r="G468" s="523"/>
      <c r="H468" s="523"/>
      <c r="I468" s="523"/>
      <c r="J468" s="523"/>
      <c r="K468" s="523"/>
      <c r="L468" s="523"/>
      <c r="M468" s="523"/>
      <c r="N468" s="523"/>
      <c r="O468" s="523"/>
      <c r="P468" s="320"/>
      <c r="Q468" s="320"/>
      <c r="T468" s="14"/>
      <c r="U468" s="1"/>
      <c r="V468" s="1"/>
      <c r="W468" s="1"/>
      <c r="X468" s="1"/>
      <c r="Y468" s="1"/>
      <c r="Z468" s="1"/>
      <c r="AA468" s="1"/>
      <c r="AB468" s="1"/>
      <c r="AC468" s="1"/>
      <c r="AD468" s="1"/>
      <c r="AE468" s="13"/>
    </row>
    <row r="469" spans="2:31" ht="16.5" hidden="1" customHeight="1">
      <c r="B469" s="168"/>
      <c r="C469" s="325"/>
      <c r="D469" s="523"/>
      <c r="E469" s="523"/>
      <c r="F469" s="523"/>
      <c r="G469" s="523"/>
      <c r="H469" s="523"/>
      <c r="I469" s="523"/>
      <c r="J469" s="523"/>
      <c r="K469" s="523"/>
      <c r="L469" s="523"/>
      <c r="M469" s="523"/>
      <c r="N469" s="523"/>
      <c r="O469" s="523"/>
      <c r="P469" s="320"/>
      <c r="Q469" s="320"/>
      <c r="T469" s="14"/>
      <c r="U469" s="1"/>
      <c r="V469" s="1"/>
      <c r="W469" s="1"/>
      <c r="X469" s="1"/>
      <c r="Y469" s="1"/>
      <c r="Z469" s="1"/>
      <c r="AA469" s="1"/>
      <c r="AB469" s="1"/>
      <c r="AC469" s="1"/>
      <c r="AD469" s="1"/>
      <c r="AE469" s="13"/>
    </row>
    <row r="470" spans="2:31" ht="16.5" hidden="1" customHeight="1" thickBot="1">
      <c r="B470" s="168"/>
      <c r="C470" s="325"/>
      <c r="D470" s="340"/>
      <c r="E470" s="320"/>
      <c r="F470" s="320"/>
      <c r="G470" s="320"/>
      <c r="H470" s="320"/>
      <c r="I470" s="320"/>
      <c r="J470" s="320"/>
      <c r="K470" s="320"/>
      <c r="L470" s="320"/>
      <c r="M470" s="320"/>
      <c r="N470" s="320"/>
      <c r="O470" s="320"/>
      <c r="P470" s="320"/>
      <c r="Q470" s="320"/>
      <c r="T470" s="14"/>
      <c r="U470" s="1"/>
      <c r="V470" s="1"/>
      <c r="W470" s="1"/>
      <c r="X470" s="1"/>
      <c r="Y470" s="1"/>
      <c r="Z470" s="1"/>
      <c r="AA470" s="1"/>
      <c r="AB470" s="1"/>
      <c r="AC470" s="1"/>
      <c r="AD470" s="1"/>
      <c r="AE470" s="13"/>
    </row>
    <row r="471" spans="2:31" ht="16.5" hidden="1" customHeight="1">
      <c r="B471" s="103"/>
      <c r="C471" s="318"/>
      <c r="D471" s="527" t="str">
        <f>IFERROR(IF(AB448="NON","Vous avez débuté votre activité après le 31 Janvier 2020, vous ne pouvez donc pas bénéficier de cette aide",IF(OR(AB445=TRUE,AND(AB446=TRUE,AB450&gt;=0.5)),IF(AB452=0,"Vous n'avez pas indiqué de chiffre d'affaires de référence",IF(AB449&lt;AB452*0.2,"Dans votre cas, la perte est inférieure à 20 % du CA, l'aide est donc plafonnée à la perte, soit "&amp;ROUND(AB449,0)&amp;" € pour le mois de Mai",IF(AB452*0.2&gt;=200000,"Dans votre cas, l'aide est plafonnée, à "&amp;Annexes!O8&amp;" € pour le mois de Mai","Vous pouvez bénéficier, au titre de cette aide, d'un montant de "&amp;ROUND(AB452*0.2,0)&amp;" € pour le mois de Mai"))),IF(OR(AB442="OUI",AND(AB443="OUI",OR(AB438&gt;=0.8,AB439&gt;=0.8,AB440&gt;=0.1))),IF(AB450&gt;=0.7,IF(AB449&lt;AB452*0.2,"Dans votre cas, la perte est inférieure à 20 % du CA, l'aide est donc plafonnée à la perte, soit "&amp;ROUND(AB449,0)&amp;" € pour le mois de Mai",IF(AB452*0.2&gt;=200000,"Dans votre cas, l'aide est plafonnée, à "&amp;Annexes!O8&amp;" € pour le mois de Mai","Vous pouvez bénéficier, au titre de cette aide, d'un montant de "&amp;ROUND(AB452*0.2,0)&amp;" € pour le mois de Mai")),IF(AB450&gt;=0.5,IF(AB449&lt;AB452*0.15,"Dans votre cas, la perte est inférieure à 15 % du CA, l'aide est donc plafonnée à la perte, soit "&amp;ROUND(AB449,0)&amp;" € pour le mois de Mai",IF(AB452*0.15&gt;=200000,"Dans votre cas, l'aide est plafonnée, à "&amp;Annexes!O8&amp;" € pour le mois de Mai","Vous pouvez bénéficier, au titre de cette aide, d'un montant de "&amp;ROUND(AB452*0.15,0)&amp;" € pour le mois de Mai")),IF(AND(AB444="OUI",OR(AB438&gt;=0.8,AB439&gt;=0.8,AB440&gt;=0.1),AB450&gt;=0.7),IF(AB449&lt;AB452*0.2,"Dans votre cas, la perte est inférieure à 20 % du CA, l'aide est donc plafonnée à la perte, soit "&amp;ROUND(AB449,0)&amp;" € pour le mois de Mai",IF(AB452*0.2&gt;=200000,"Dans votre cas, l'aide est plafonnée, à "&amp;Annexes!O8&amp;" € pour le mois de Mai","Vous pouvez bénéficier, au titre de cette aide, d'un montant de "&amp;ROUND(AB452*0.2,0)&amp;" € pour le mois de Mai")),"L'entreprise ne fait ni partie des fermetures administratives au mois de Mai, ni des activités mentionnées en annexe 1 (S1) avec 50 % de perte en Mai ou en annexe 2 (S1 bis) ou 3 ou dans un centre commercial avec 70 % de Perte en de Mai"))),IF(AND(AB444="OUI",OR(AB438&gt;=0.8,AB439&gt;=0.8,AB440&gt;=0.1),AB450&gt;=0.7),IF(AB449&lt;AB452*0.2,"Dans votre cas, la perte est inférieure à 20 % du CA, l'aide est donc plafonnée à la perte, soit "&amp;ROUND(AB449,0)&amp;" € pour le mois de Mai",IF(AB452*0.2&gt;=200000,"Dans votre cas, l'aide est plafonnée, à "&amp;Annexes!O8&amp;" € pour le mois de Mai","Vous pouvez bénéficier, au titre de cette aide, d'un montant de "&amp;ROUND(AB452*0.2,0)&amp;" € pour le mois de Mai")),"L'entreprise ne fait ni partie des fermetures administratives avec 20 % de perte au mois de Mai, ni des activités mentionnées en annexe 1 (S1)"&amp;" ou en annexe 2 (S1 bis) avec 50 % de perte en Mai ou 3 ou dans un centre commercial avec 70 % de Perte en Mai")))),"Vous n'avez pas indiqué de chiffre d'affaires de référence")</f>
        <v>L'entreprise ne fait ni partie des fermetures administratives avec 20 % de perte au mois de Mai, ni des activités mentionnées en annexe 1 (S1) ou en annexe 2 (S1 bis) avec 50 % de perte en Mai ou 3 ou dans un centre commercial avec 70 % de Perte en Mai</v>
      </c>
      <c r="E471" s="509"/>
      <c r="F471" s="509"/>
      <c r="G471" s="509"/>
      <c r="H471" s="509"/>
      <c r="I471" s="509"/>
      <c r="J471" s="509"/>
      <c r="K471" s="509"/>
      <c r="L471" s="509"/>
      <c r="M471" s="509"/>
      <c r="N471" s="509"/>
      <c r="O471" s="510"/>
      <c r="P471" s="320"/>
      <c r="Q471" s="320"/>
      <c r="T471" s="14"/>
      <c r="U471" s="1"/>
      <c r="V471" s="1"/>
      <c r="W471" s="1"/>
      <c r="X471" s="1"/>
      <c r="Y471" s="1"/>
      <c r="Z471" s="1"/>
      <c r="AA471" s="1"/>
      <c r="AB471" s="1"/>
      <c r="AC471" s="1"/>
      <c r="AD471" s="1"/>
      <c r="AE471" s="13"/>
    </row>
    <row r="472" spans="2:31" ht="16.5" hidden="1" customHeight="1">
      <c r="B472" s="103"/>
      <c r="C472" s="318"/>
      <c r="D472" s="511"/>
      <c r="E472" s="512"/>
      <c r="F472" s="512"/>
      <c r="G472" s="512"/>
      <c r="H472" s="512"/>
      <c r="I472" s="512"/>
      <c r="J472" s="512"/>
      <c r="K472" s="512"/>
      <c r="L472" s="512"/>
      <c r="M472" s="512"/>
      <c r="N472" s="512"/>
      <c r="O472" s="513"/>
      <c r="P472" s="320"/>
      <c r="Q472" s="320"/>
      <c r="T472" s="14"/>
      <c r="U472" s="1"/>
      <c r="V472" s="1"/>
      <c r="W472" s="1"/>
      <c r="X472" s="1"/>
      <c r="Y472" s="1"/>
      <c r="Z472" s="1"/>
      <c r="AA472" s="1"/>
      <c r="AB472" s="1"/>
      <c r="AC472" s="1"/>
      <c r="AD472" s="1"/>
      <c r="AE472" s="13"/>
    </row>
    <row r="473" spans="2:31" ht="16.5" hidden="1" customHeight="1">
      <c r="B473" s="103"/>
      <c r="C473" s="318"/>
      <c r="D473" s="511"/>
      <c r="E473" s="512"/>
      <c r="F473" s="512"/>
      <c r="G473" s="512"/>
      <c r="H473" s="512"/>
      <c r="I473" s="512"/>
      <c r="J473" s="512"/>
      <c r="K473" s="512"/>
      <c r="L473" s="512"/>
      <c r="M473" s="512"/>
      <c r="N473" s="512"/>
      <c r="O473" s="513"/>
      <c r="P473" s="175"/>
      <c r="Q473" s="175"/>
      <c r="T473" s="14"/>
      <c r="U473" s="1"/>
      <c r="V473" s="1"/>
      <c r="W473" s="1"/>
      <c r="X473" s="1"/>
      <c r="Y473" s="1"/>
      <c r="Z473" s="1"/>
      <c r="AA473" s="1"/>
      <c r="AB473" s="1"/>
      <c r="AC473" s="1"/>
      <c r="AD473" s="1"/>
      <c r="AE473" s="13"/>
    </row>
    <row r="474" spans="2:31" ht="16.5" hidden="1" customHeight="1" thickBot="1">
      <c r="B474" s="103"/>
      <c r="C474" s="318"/>
      <c r="D474" s="514"/>
      <c r="E474" s="515"/>
      <c r="F474" s="515"/>
      <c r="G474" s="515"/>
      <c r="H474" s="515"/>
      <c r="I474" s="515"/>
      <c r="J474" s="515"/>
      <c r="K474" s="515"/>
      <c r="L474" s="515"/>
      <c r="M474" s="515"/>
      <c r="N474" s="515"/>
      <c r="O474" s="516"/>
      <c r="T474" s="14"/>
      <c r="U474" s="1"/>
      <c r="V474" s="1"/>
      <c r="W474" s="1"/>
      <c r="X474" s="1"/>
      <c r="Y474" s="1"/>
      <c r="Z474" s="1"/>
      <c r="AA474" s="1"/>
      <c r="AB474" s="1"/>
      <c r="AC474" s="1"/>
      <c r="AD474" s="1"/>
      <c r="AE474" s="13"/>
    </row>
    <row r="475" spans="2:31" ht="16.5" hidden="1" customHeight="1">
      <c r="B475" s="5"/>
      <c r="C475" s="5"/>
      <c r="D475" s="566" t="str">
        <f>IF(AND(AB446=TRUE,AB445=FALSE,AB431&gt;1500),"L'aide est plafonné à 1 500 €, Si l'entreprise a subi une perte de moins de 50 % sur la période en comprenant le CA réalisé sur les activités de vente à distance avec retrait en magasin ou livraison sont à prendre en compte pour le calcul de la perte","")</f>
        <v/>
      </c>
      <c r="E475" s="566"/>
      <c r="F475" s="566"/>
      <c r="G475" s="566"/>
      <c r="H475" s="566"/>
      <c r="I475" s="566"/>
      <c r="J475" s="566"/>
      <c r="K475" s="566"/>
      <c r="L475" s="566"/>
      <c r="M475" s="566"/>
      <c r="N475" s="566"/>
      <c r="O475" s="566"/>
      <c r="P475" s="177"/>
      <c r="Q475" s="177"/>
      <c r="T475" s="14"/>
      <c r="U475" s="1"/>
      <c r="V475" s="1"/>
      <c r="W475" s="1"/>
      <c r="X475" s="1"/>
      <c r="Y475" s="1"/>
      <c r="Z475" s="1"/>
      <c r="AA475" s="1"/>
      <c r="AB475" s="1"/>
      <c r="AC475" s="1"/>
      <c r="AD475" s="1"/>
      <c r="AE475" s="13"/>
    </row>
    <row r="476" spans="2:31" hidden="1">
      <c r="B476" s="5"/>
      <c r="C476" s="5"/>
      <c r="D476" s="566"/>
      <c r="E476" s="566"/>
      <c r="F476" s="566"/>
      <c r="G476" s="566"/>
      <c r="H476" s="566"/>
      <c r="I476" s="566"/>
      <c r="J476" s="566"/>
      <c r="K476" s="566"/>
      <c r="L476" s="566"/>
      <c r="M476" s="566"/>
      <c r="N476" s="566"/>
      <c r="O476" s="566"/>
      <c r="P476" s="177"/>
      <c r="Q476" s="177"/>
      <c r="T476" s="14"/>
      <c r="U476" s="1"/>
      <c r="V476" s="1"/>
      <c r="W476" s="1"/>
      <c r="X476" s="1"/>
      <c r="Y476" s="1"/>
      <c r="Z476" s="1"/>
      <c r="AA476" s="1"/>
      <c r="AB476" s="1"/>
      <c r="AC476" s="1"/>
      <c r="AD476" s="1"/>
      <c r="AE476" s="13"/>
    </row>
    <row r="477" spans="2:31">
      <c r="D477" s="177"/>
      <c r="E477" s="177"/>
      <c r="F477" s="177"/>
      <c r="G477" s="177"/>
      <c r="H477" s="177"/>
      <c r="I477" s="177"/>
      <c r="J477" s="177"/>
      <c r="K477" s="177"/>
      <c r="L477" s="177"/>
      <c r="M477" s="177"/>
      <c r="N477" s="177"/>
      <c r="O477" s="177"/>
      <c r="P477" s="175"/>
      <c r="Q477" s="175"/>
      <c r="T477" s="14"/>
      <c r="U477" s="1"/>
      <c r="V477" s="1"/>
      <c r="W477" s="1"/>
      <c r="X477" s="1"/>
      <c r="Y477" s="1"/>
      <c r="Z477" s="1"/>
      <c r="AA477" s="1"/>
      <c r="AB477" s="1"/>
      <c r="AC477" s="1"/>
      <c r="AD477" s="1"/>
      <c r="AE477" s="13"/>
    </row>
    <row r="478" spans="2:31" ht="16.5" thickBot="1">
      <c r="B478" s="220"/>
      <c r="C478" s="488" t="s">
        <v>470</v>
      </c>
      <c r="D478" s="488"/>
      <c r="E478" s="488"/>
      <c r="F478" s="488"/>
      <c r="G478" s="488"/>
      <c r="H478" s="488"/>
      <c r="I478" s="221"/>
      <c r="J478" s="221"/>
      <c r="K478" s="221"/>
      <c r="L478" s="221"/>
      <c r="M478" s="221"/>
      <c r="N478" s="221"/>
      <c r="O478" s="221"/>
      <c r="T478" s="16"/>
      <c r="U478" s="11"/>
      <c r="V478" s="11"/>
      <c r="W478" s="11"/>
      <c r="X478" s="11"/>
      <c r="Y478" s="11"/>
      <c r="Z478" s="11"/>
      <c r="AA478" s="11"/>
      <c r="AB478" s="11"/>
      <c r="AC478" s="11"/>
      <c r="AD478" s="11"/>
      <c r="AE478" s="12"/>
    </row>
    <row r="479" spans="2:31" ht="15" customHeight="1">
      <c r="B479" s="63"/>
      <c r="C479" s="24"/>
      <c r="D479" s="24"/>
      <c r="E479" s="24"/>
      <c r="F479" s="24"/>
      <c r="G479" s="24"/>
      <c r="H479" s="63"/>
      <c r="I479" s="1"/>
      <c r="J479" s="1"/>
      <c r="K479" s="1"/>
      <c r="L479" s="1"/>
      <c r="M479" s="1"/>
      <c r="N479" s="1"/>
      <c r="O479" s="1"/>
      <c r="T479" s="14"/>
      <c r="U479" s="1"/>
      <c r="V479" s="1"/>
      <c r="W479" s="1"/>
      <c r="X479" s="1"/>
      <c r="Y479" s="1"/>
      <c r="Z479" s="1"/>
      <c r="AA479" s="1"/>
      <c r="AB479" s="1"/>
      <c r="AC479" s="1"/>
      <c r="AD479" s="1"/>
      <c r="AE479" s="13"/>
    </row>
    <row r="480" spans="2:31" ht="15" customHeight="1">
      <c r="B480" s="103"/>
      <c r="C480" s="489" t="s">
        <v>476</v>
      </c>
      <c r="D480" s="489"/>
      <c r="E480" s="489"/>
      <c r="F480" s="489"/>
      <c r="G480" s="489"/>
      <c r="H480" s="489"/>
      <c r="I480" s="489"/>
      <c r="J480" s="489"/>
      <c r="K480" s="489"/>
      <c r="L480" s="489"/>
      <c r="M480" s="489"/>
      <c r="N480" s="489"/>
      <c r="O480" s="489"/>
      <c r="P480" s="1"/>
      <c r="T480" s="25"/>
      <c r="U480" s="490" t="s">
        <v>20</v>
      </c>
      <c r="V480" s="490"/>
      <c r="W480" s="490"/>
      <c r="X480" s="1"/>
      <c r="Y480" s="339" t="s">
        <v>6</v>
      </c>
      <c r="Z480" s="339"/>
      <c r="AA480" s="339"/>
      <c r="AB480" s="339" t="s">
        <v>23</v>
      </c>
      <c r="AC480" s="339"/>
      <c r="AD480" s="339"/>
      <c r="AE480" s="26" t="s">
        <v>24</v>
      </c>
    </row>
    <row r="481" spans="2:31" ht="15.75" customHeight="1">
      <c r="B481" s="103"/>
      <c r="C481" s="332"/>
      <c r="D481" s="60" t="s">
        <v>435</v>
      </c>
      <c r="E481" s="332"/>
      <c r="F481" s="332"/>
      <c r="G481" s="332"/>
      <c r="H481" s="332"/>
      <c r="I481" s="332"/>
      <c r="J481" s="332"/>
      <c r="K481" s="332"/>
      <c r="L481" s="332"/>
      <c r="M481" s="332"/>
      <c r="N481" s="332"/>
      <c r="O481" s="332"/>
      <c r="P481" s="1"/>
      <c r="T481" s="25"/>
      <c r="U481" s="339"/>
      <c r="V481" s="339"/>
      <c r="W481" s="339"/>
      <c r="X481" s="1"/>
      <c r="Y481" s="339"/>
      <c r="Z481" s="339"/>
      <c r="AA481" s="339"/>
      <c r="AB481" s="339"/>
      <c r="AC481" s="339"/>
      <c r="AD481" s="339"/>
      <c r="AE481" s="26"/>
    </row>
    <row r="482" spans="2:31" ht="16.5" thickBot="1">
      <c r="B482" s="103"/>
      <c r="C482" s="332"/>
      <c r="D482" s="60"/>
      <c r="E482" s="332"/>
      <c r="F482" s="332"/>
      <c r="G482" s="332"/>
      <c r="H482" s="332"/>
      <c r="I482" s="332"/>
      <c r="J482" s="332"/>
      <c r="K482" s="332"/>
      <c r="L482" s="332"/>
      <c r="M482" s="332"/>
      <c r="N482" s="332"/>
      <c r="O482" s="332"/>
      <c r="P482" s="1"/>
      <c r="T482" s="491" t="s">
        <v>475</v>
      </c>
      <c r="U482" s="490"/>
      <c r="V482" s="490"/>
      <c r="W482" s="490"/>
      <c r="X482" s="1"/>
      <c r="Y482" s="7">
        <f>'Mon Entreprise'!I132</f>
        <v>0</v>
      </c>
      <c r="Z482" s="133"/>
      <c r="AA482" s="21"/>
      <c r="AB482" s="7">
        <f>IF('Mon Entreprise'!I132-'Mon Entreprise'!M132&lt;0,0,'Mon Entreprise'!I132-'Mon Entreprise'!M132)</f>
        <v>0</v>
      </c>
      <c r="AC482" s="13"/>
      <c r="AD482" s="1"/>
      <c r="AE482" s="27">
        <f>IFERROR(1-'Mon Entreprise'!M132/'Mon Entreprise'!I132,0)</f>
        <v>0</v>
      </c>
    </row>
    <row r="483" spans="2:31" ht="15.75">
      <c r="B483" s="103"/>
      <c r="C483" s="332"/>
      <c r="D483" s="492" t="str">
        <f>IFERROR(IF(AND(AB524=0,AB525=0,AB526=0),"Vous ne pouvez pas bénéficier du fonds de solidarité pour le mois de Juin 2021",IF(AND(AB526&gt;AB525,AB526&gt;AB524),"Votre entreprise peut bénéficier d'une aide de "&amp;AB526&amp;" €, au titre d'une fermeture Administrative avec une perte de 20 % de CA",IF(AB525&gt;AB524,"Votre entreprise peut bénéficier d'une aide de "&amp;AB525&amp;" €, au titre des entreprises ayant leur activité mentionnée en annexe 1, ou en annexe 2, avec une perte de CA "&amp;"d'au moins 80 % entre le 15/03/2020 et le 15/05/2020 ou au mois de Novembre 2020 ou une perte de 10 % entre 2019 et 2020, ou domicilié dans les îles d'outre-mer","Votre entreprise peut bénéficier d'une aide de "&amp;AB524&amp;" €, au titre d'une fermeture administrative d'au moins 10 jours et d'une perte d'au-moins 50 % de votre CA en Juin 2021"))),"Vous n'avez pas indiqué de chiffre d'affaires de référence")</f>
        <v>Vous ne pouvez pas bénéficier du fonds de solidarité pour le mois de Juin 2021</v>
      </c>
      <c r="E483" s="493"/>
      <c r="F483" s="493"/>
      <c r="G483" s="493"/>
      <c r="H483" s="493"/>
      <c r="I483" s="493"/>
      <c r="J483" s="493"/>
      <c r="K483" s="493"/>
      <c r="L483" s="493"/>
      <c r="M483" s="493"/>
      <c r="N483" s="493"/>
      <c r="O483" s="494"/>
      <c r="P483" s="1"/>
      <c r="T483" s="491" t="s">
        <v>25</v>
      </c>
      <c r="U483" s="490"/>
      <c r="V483" s="490"/>
      <c r="W483" s="490"/>
      <c r="X483" s="1"/>
      <c r="Y483" s="7">
        <f>'Mon Entreprise'!I98</f>
        <v>0</v>
      </c>
      <c r="Z483" s="133"/>
      <c r="AA483" s="21"/>
      <c r="AB483" s="7">
        <f>IF('Mon Entreprise'!I98-'Mon Entreprise'!M132&lt;0,0,'Mon Entreprise'!I98-'Mon Entreprise'!M132)</f>
        <v>0</v>
      </c>
      <c r="AC483" s="36"/>
      <c r="AD483" s="1"/>
      <c r="AE483" s="27">
        <f>IFERROR(1-'Mon Entreprise'!M132/'Mon Entreprise'!I98,0)</f>
        <v>0</v>
      </c>
    </row>
    <row r="484" spans="2:31" ht="15.75" customHeight="1">
      <c r="B484" s="103"/>
      <c r="C484" s="332"/>
      <c r="D484" s="495"/>
      <c r="E484" s="496"/>
      <c r="F484" s="496"/>
      <c r="G484" s="496"/>
      <c r="H484" s="496"/>
      <c r="I484" s="496"/>
      <c r="J484" s="496"/>
      <c r="K484" s="496"/>
      <c r="L484" s="496"/>
      <c r="M484" s="496"/>
      <c r="N484" s="496"/>
      <c r="O484" s="497"/>
      <c r="P484" s="1"/>
      <c r="T484" s="501" t="s">
        <v>22</v>
      </c>
      <c r="U484" s="502"/>
      <c r="V484" s="502"/>
      <c r="W484" s="502"/>
      <c r="X484" s="139"/>
      <c r="Y484" s="140" t="str">
        <f>IF('Mon Entreprise'!I148="","NC",'Mon Entreprise'!I148)</f>
        <v>NC</v>
      </c>
      <c r="Z484" s="191"/>
      <c r="AA484" s="192"/>
      <c r="AB484" s="143" t="str">
        <f>IFERROR(IF('Mon Entreprise'!I148-'Mon Entreprise'!M132&lt;0,0,'Mon Entreprise'!I148-'Mon Entreprise'!M132),"NC")</f>
        <v>NC</v>
      </c>
      <c r="AC484" s="193"/>
      <c r="AD484" s="139"/>
      <c r="AE484" s="146" t="str">
        <f>IFERROR(1-'Mon Entreprise'!M132/'Mon Entreprise'!I148,"NC")</f>
        <v>NC</v>
      </c>
    </row>
    <row r="485" spans="2:31" ht="15.75" customHeight="1">
      <c r="B485" s="103"/>
      <c r="C485" s="332"/>
      <c r="D485" s="495"/>
      <c r="E485" s="496"/>
      <c r="F485" s="496"/>
      <c r="G485" s="496"/>
      <c r="H485" s="496"/>
      <c r="I485" s="496"/>
      <c r="J485" s="496"/>
      <c r="K485" s="496"/>
      <c r="L485" s="496"/>
      <c r="M485" s="496"/>
      <c r="N485" s="496"/>
      <c r="O485" s="497"/>
      <c r="P485" s="1"/>
      <c r="T485" s="334"/>
      <c r="U485" s="335"/>
      <c r="V485" s="335"/>
      <c r="W485" s="335"/>
      <c r="X485" s="139"/>
      <c r="Y485" s="140"/>
      <c r="Z485" s="141"/>
      <c r="AA485" s="192"/>
      <c r="AB485" s="143"/>
      <c r="AC485" s="335"/>
      <c r="AD485" s="139"/>
      <c r="AE485" s="146"/>
    </row>
    <row r="486" spans="2:31" ht="15.75" customHeight="1">
      <c r="B486" s="103"/>
      <c r="C486" s="332"/>
      <c r="D486" s="495"/>
      <c r="E486" s="496"/>
      <c r="F486" s="496"/>
      <c r="G486" s="496"/>
      <c r="H486" s="496"/>
      <c r="I486" s="496"/>
      <c r="J486" s="496"/>
      <c r="K486" s="496"/>
      <c r="L486" s="496"/>
      <c r="M486" s="496"/>
      <c r="N486" s="496"/>
      <c r="O486" s="497"/>
      <c r="P486" s="1"/>
      <c r="T486" s="14"/>
      <c r="U486" s="1"/>
      <c r="V486" s="1"/>
      <c r="W486" s="1"/>
      <c r="X486" s="1"/>
      <c r="Y486" s="1"/>
      <c r="Z486" s="1"/>
      <c r="AA486" s="1"/>
      <c r="AB486" s="1"/>
      <c r="AC486" s="1"/>
      <c r="AD486" s="1"/>
      <c r="AE486" s="13"/>
    </row>
    <row r="487" spans="2:31" ht="15.75" customHeight="1">
      <c r="B487" s="103"/>
      <c r="C487" s="332"/>
      <c r="D487" s="495"/>
      <c r="E487" s="496"/>
      <c r="F487" s="496"/>
      <c r="G487" s="496"/>
      <c r="H487" s="496"/>
      <c r="I487" s="496"/>
      <c r="J487" s="496"/>
      <c r="K487" s="496"/>
      <c r="L487" s="496"/>
      <c r="M487" s="496"/>
      <c r="N487" s="496"/>
      <c r="O487" s="497"/>
      <c r="P487" s="1"/>
      <c r="T487" s="14"/>
      <c r="AC487" s="1"/>
      <c r="AD487" s="1"/>
      <c r="AE487" s="13"/>
    </row>
    <row r="488" spans="2:31" ht="15.75" customHeight="1" thickBot="1">
      <c r="B488" s="103"/>
      <c r="C488" s="332"/>
      <c r="D488" s="498"/>
      <c r="E488" s="499"/>
      <c r="F488" s="499"/>
      <c r="G488" s="499"/>
      <c r="H488" s="499"/>
      <c r="I488" s="499"/>
      <c r="J488" s="499"/>
      <c r="K488" s="499"/>
      <c r="L488" s="499"/>
      <c r="M488" s="499"/>
      <c r="N488" s="499"/>
      <c r="O488" s="500"/>
      <c r="P488" s="1"/>
      <c r="T488" s="14"/>
      <c r="AC488" s="1"/>
      <c r="AD488" s="1"/>
      <c r="AE488" s="13"/>
    </row>
    <row r="489" spans="2:31" ht="16.5" customHeight="1">
      <c r="B489" s="103"/>
      <c r="C489" s="332"/>
      <c r="D489" s="503" t="s">
        <v>494</v>
      </c>
      <c r="E489" s="503"/>
      <c r="F489" s="503"/>
      <c r="G489" s="503"/>
      <c r="H489" s="503"/>
      <c r="I489" s="503"/>
      <c r="J489" s="503"/>
      <c r="K489" s="503"/>
      <c r="L489" s="503"/>
      <c r="M489" s="503"/>
      <c r="N489" s="503"/>
      <c r="O489" s="503"/>
      <c r="P489" s="1"/>
      <c r="T489" s="14"/>
      <c r="AC489" s="1"/>
      <c r="AD489" s="1"/>
      <c r="AE489" s="13"/>
    </row>
    <row r="490" spans="2:31" ht="16.5" customHeight="1">
      <c r="B490" s="103"/>
      <c r="C490" s="351"/>
      <c r="D490" s="504"/>
      <c r="E490" s="504"/>
      <c r="F490" s="504"/>
      <c r="G490" s="504"/>
      <c r="H490" s="504"/>
      <c r="I490" s="504"/>
      <c r="J490" s="504"/>
      <c r="K490" s="504"/>
      <c r="L490" s="504"/>
      <c r="M490" s="504"/>
      <c r="N490" s="504"/>
      <c r="O490" s="504"/>
      <c r="P490" s="1"/>
      <c r="T490" s="14"/>
      <c r="AC490" s="1"/>
      <c r="AD490" s="1"/>
      <c r="AE490" s="13"/>
    </row>
    <row r="491" spans="2:31" ht="15.75" hidden="1">
      <c r="B491" s="103"/>
      <c r="C491" s="78"/>
      <c r="D491" s="78"/>
      <c r="E491" s="78"/>
      <c r="F491" s="78"/>
      <c r="G491" s="78"/>
      <c r="H491" s="78"/>
      <c r="I491" s="78"/>
      <c r="J491" s="78"/>
      <c r="K491" s="78"/>
      <c r="L491" s="78"/>
      <c r="M491" s="78"/>
      <c r="N491" s="78"/>
      <c r="O491" s="78"/>
      <c r="P491" s="1"/>
      <c r="T491" s="14"/>
      <c r="U491" s="1"/>
      <c r="V491" s="1"/>
      <c r="W491" s="1"/>
      <c r="X491" s="1"/>
      <c r="Y491" s="1"/>
      <c r="Z491" s="1"/>
      <c r="AA491" s="1"/>
      <c r="AB491" s="1"/>
      <c r="AC491" s="1"/>
      <c r="AD491" s="1"/>
      <c r="AE491" s="13"/>
    </row>
    <row r="492" spans="2:31" ht="15.75" hidden="1">
      <c r="B492" s="103"/>
      <c r="C492" s="332"/>
      <c r="D492" s="60"/>
      <c r="E492" s="332"/>
      <c r="F492" s="332"/>
      <c r="G492" s="332"/>
      <c r="H492" s="332"/>
      <c r="I492" s="332"/>
      <c r="J492" s="332"/>
      <c r="K492" s="332"/>
      <c r="L492" s="332"/>
      <c r="M492" s="332"/>
      <c r="N492" s="332"/>
      <c r="O492" s="332"/>
      <c r="P492" s="1"/>
      <c r="T492" s="14"/>
      <c r="U492" s="1"/>
      <c r="V492" s="1"/>
      <c r="W492" s="1"/>
      <c r="X492" s="1"/>
      <c r="Y492" s="1"/>
      <c r="Z492" s="1"/>
      <c r="AA492" s="1"/>
      <c r="AB492" s="1"/>
      <c r="AC492" s="1"/>
      <c r="AD492" s="1"/>
      <c r="AE492" s="13"/>
    </row>
    <row r="493" spans="2:31" ht="15.75" hidden="1">
      <c r="B493" s="103"/>
      <c r="C493" s="505" t="s">
        <v>485</v>
      </c>
      <c r="D493" s="505"/>
      <c r="E493" s="505"/>
      <c r="F493" s="505"/>
      <c r="G493" s="505"/>
      <c r="H493" s="505"/>
      <c r="I493" s="505"/>
      <c r="J493" s="505"/>
      <c r="K493" s="505"/>
      <c r="L493" s="505"/>
      <c r="M493" s="505"/>
      <c r="N493" s="505"/>
      <c r="O493" s="505"/>
      <c r="P493" s="1"/>
      <c r="T493" s="14"/>
      <c r="U493" s="1"/>
      <c r="V493" s="1"/>
      <c r="W493" s="1"/>
      <c r="X493" s="1"/>
      <c r="Y493" s="1"/>
      <c r="Z493" s="1"/>
      <c r="AA493" s="1"/>
      <c r="AB493" s="1"/>
      <c r="AC493" s="1"/>
      <c r="AD493" s="1"/>
      <c r="AE493" s="13"/>
    </row>
    <row r="494" spans="2:31" ht="15.75" hidden="1">
      <c r="B494" s="103"/>
      <c r="C494" s="505"/>
      <c r="D494" s="505"/>
      <c r="E494" s="505"/>
      <c r="F494" s="505"/>
      <c r="G494" s="505"/>
      <c r="H494" s="505"/>
      <c r="I494" s="505"/>
      <c r="J494" s="505"/>
      <c r="K494" s="505"/>
      <c r="L494" s="505"/>
      <c r="M494" s="505"/>
      <c r="N494" s="505"/>
      <c r="O494" s="505"/>
      <c r="P494" s="1"/>
      <c r="T494" s="14"/>
      <c r="U494" s="506" t="s">
        <v>72</v>
      </c>
      <c r="V494" s="506"/>
      <c r="W494" s="506"/>
      <c r="X494" s="506"/>
      <c r="Y494" s="506"/>
      <c r="Z494" s="1"/>
      <c r="AA494" s="14"/>
      <c r="AB494" s="335" t="str">
        <f>IF('Mon Entreprise'!K8&lt;=Annexes!R15,"Oui","Non")</f>
        <v>Oui</v>
      </c>
      <c r="AC494" s="1"/>
      <c r="AD494" s="1"/>
      <c r="AE494" s="13"/>
    </row>
    <row r="495" spans="2:31" ht="15.75" hidden="1">
      <c r="B495" s="168"/>
      <c r="C495" s="332"/>
      <c r="D495" s="60" t="str">
        <f>IFERROR(IF('Mon Entreprise'!K8&gt;=Annexes!O20,IF(AB482&gt;=AB484,"Le CA de référence est celui de Juin 2019, soit une perte de "&amp;ROUND(AB482,0)&amp;" €"&amp;" ==&gt; "&amp;ROUND(AE482*100,0)&amp;" %","Le CA de référence est celui de la création, soit une perte de "&amp;ROUND(AB484,0)&amp;" €"&amp;" ==&gt; "&amp;ROUND(AE484*100,0)&amp;" %"),IF(AB482&gt;=AB483,"Le CA de référence est celui de Juin 2019, soit une perte de "&amp;ROUND(AB482,0)&amp;" €"&amp;" ==&gt; "&amp;ROUND(AE482*100,0)&amp;" %","Le CA de référence est celui de l'exercice 2019, soit une perte de "&amp;ROUND(AB483,0)&amp;" €"&amp;" ==&gt; "&amp;ROUND(AE483*100,0)&amp;" %")),"")</f>
        <v>Le CA de référence est celui de Juin 2019, soit une perte de 0 € ==&gt; 0 %</v>
      </c>
      <c r="E495" s="332"/>
      <c r="F495" s="332"/>
      <c r="G495" s="332"/>
      <c r="H495" s="332"/>
      <c r="I495" s="332"/>
      <c r="J495" s="332"/>
      <c r="K495" s="332"/>
      <c r="L495" s="332"/>
      <c r="M495" s="332"/>
      <c r="N495" s="332"/>
      <c r="O495" s="332"/>
      <c r="P495" s="1"/>
      <c r="T495" s="14"/>
      <c r="U495" s="336"/>
      <c r="V495" s="506" t="s">
        <v>393</v>
      </c>
      <c r="W495" s="506"/>
      <c r="X495" s="506"/>
      <c r="Y495" s="506"/>
      <c r="Z495" s="1"/>
      <c r="AA495" s="14"/>
      <c r="AB495" s="335">
        <f>IF('Mon Entreprise'!K8&gt;=Annexes!O20,IF(Y482&gt;=Y484,Y482,Y484),IF(Y482&gt;=Y483,Y482,Y483))</f>
        <v>0</v>
      </c>
      <c r="AC495" s="1"/>
      <c r="AD495" s="1"/>
      <c r="AE495" s="13"/>
    </row>
    <row r="496" spans="2:31" ht="15.75" hidden="1">
      <c r="B496" s="168"/>
      <c r="C496" s="332"/>
      <c r="D496" s="507" t="str">
        <f>IFERROR(IF('Mon Entreprise'!K8&gt;=Annexes!O20,"",IF(AB482&lt;AB483,"A noter qu'il convient de choisir l'option retenue par l'entreprise lors de sa demande au titre du mois Février 2021, ou a défaut celui du mois de Mars, d'Avril, ou Mai 2021, si le CA de référence était celui de février 2019, il convient de prendre"&amp;" celui de Juin 2019 (...), soit "&amp;ROUND(AB482,0)&amp;" €"&amp;" ==&gt; "&amp;ROUND(AE482*100,0)&amp;" %","A noter qu'il convient de choisir l'option retenue par l'entreprise lors de sa demande au titre du mois Février 2021, ou "&amp;"a défaut celui du mois de Mars, d'Avril, ou Mai 2021, si le CA de référence était celui de l'exercice 2019, il convient de prendre celui de l'exercie 2019, soit une perte de "&amp;ROUND(AB483,0)&amp;" €"&amp;" ==&gt; "&amp;ROUND(AE483*100,0)&amp;" %")),"")</f>
        <v>A noter qu'il convient de choisir l'option retenue par l'entreprise lors de sa demande au titre du mois Février 2021, ou a défaut celui du mois de Mars, d'Avril, ou Mai 2021, si le CA de référence était celui de l'exercice 2019, il convient de prendre celui de l'exercie 2019, soit une perte de 0 € ==&gt; 0 %</v>
      </c>
      <c r="E496" s="507"/>
      <c r="F496" s="507"/>
      <c r="G496" s="507"/>
      <c r="H496" s="507"/>
      <c r="I496" s="507"/>
      <c r="J496" s="507"/>
      <c r="K496" s="507"/>
      <c r="L496" s="507"/>
      <c r="M496" s="507"/>
      <c r="N496" s="507"/>
      <c r="O496" s="507"/>
      <c r="P496" s="1"/>
      <c r="T496" s="14"/>
      <c r="U496" s="506" t="s">
        <v>84</v>
      </c>
      <c r="V496" s="506"/>
      <c r="W496" s="506"/>
      <c r="X496" s="506"/>
      <c r="Y496" s="506"/>
      <c r="Z496" s="1"/>
      <c r="AA496" s="14"/>
      <c r="AB496" s="333">
        <f>IF('Mon Entreprise'!K8&gt;=Annexes!O20,IF(AB482&gt;=AB484,AB482,AB484),IF(AB482&gt;=AB483,AB482,AB483))</f>
        <v>0</v>
      </c>
      <c r="AC496" s="1"/>
      <c r="AD496" s="1"/>
      <c r="AE496" s="13"/>
    </row>
    <row r="497" spans="1:31" ht="15.75" hidden="1">
      <c r="B497" s="168"/>
      <c r="C497" s="332"/>
      <c r="D497" s="507"/>
      <c r="E497" s="507"/>
      <c r="F497" s="507"/>
      <c r="G497" s="507"/>
      <c r="H497" s="507"/>
      <c r="I497" s="507"/>
      <c r="J497" s="507"/>
      <c r="K497" s="507"/>
      <c r="L497" s="507"/>
      <c r="M497" s="507"/>
      <c r="N497" s="507"/>
      <c r="O497" s="507"/>
      <c r="P497" s="1"/>
      <c r="T497" s="14"/>
      <c r="U497" s="506" t="s">
        <v>85</v>
      </c>
      <c r="V497" s="506"/>
      <c r="W497" s="506"/>
      <c r="X497" s="506"/>
      <c r="Y497" s="506"/>
      <c r="Z497" s="1"/>
      <c r="AA497" s="14"/>
      <c r="AB497" s="19">
        <f>IF('Mon Entreprise'!K8&gt;=Annexes!O20,IF(AB482&gt;=AB484,AE482,AE484),IF(AB482&gt;=AB483,AE482,AE483))</f>
        <v>0</v>
      </c>
      <c r="AC497" s="1"/>
      <c r="AD497" s="1"/>
      <c r="AE497" s="13"/>
    </row>
    <row r="498" spans="1:31" ht="16.5" hidden="1" thickBot="1">
      <c r="B498" s="103"/>
      <c r="C498" s="332"/>
      <c r="D498" s="60"/>
      <c r="E498" s="332"/>
      <c r="F498" s="332"/>
      <c r="G498" s="332"/>
      <c r="H498" s="332"/>
      <c r="I498" s="332"/>
      <c r="J498" s="332"/>
      <c r="K498" s="332"/>
      <c r="L498" s="332"/>
      <c r="M498" s="332"/>
      <c r="N498" s="332"/>
      <c r="O498" s="332"/>
      <c r="P498" s="1"/>
      <c r="T498" s="14"/>
      <c r="U498" s="1"/>
      <c r="V498" s="1"/>
      <c r="W498" s="1"/>
      <c r="X498" s="1"/>
      <c r="Y498" s="1"/>
      <c r="Z498" s="1"/>
      <c r="AA498" s="1"/>
      <c r="AB498" s="1"/>
      <c r="AC498" s="1"/>
      <c r="AD498" s="1"/>
      <c r="AE498" s="13"/>
    </row>
    <row r="499" spans="1:31" ht="15.75" hidden="1">
      <c r="B499" s="168"/>
      <c r="C499" s="332"/>
      <c r="D499" s="508" t="str">
        <f>IFERROR(IF(AB494="Non","Vous avez débuté votre activité après le 31 Janvier 2020, vous ne pouvez donc pas bénéficier de cette aide",IF(AND(AB512=TRUE,AB497&gt;=0.5),IF(AB496&gt;Annexes!O5,"Dans votre cas, l'aide est Plafonnée, à "&amp;Annexes!O5&amp;" € pour le mois de Juin","Vous pouvez bénéficier, au titre de cette aide, d'un montant de "&amp;ROUND(AB496,0)&amp;" € pour le mois de Juin"),"L'entreprise n'a pas une perte d'au moins 50 % en Juin 2021 ou n'a pas été en fermeture Administrative au moins 10 Jours")),"Vous n'avez pas indiqué de chiffre d'affaires de référence")</f>
        <v>L'entreprise n'a pas une perte d'au moins 50 % en Juin 2021 ou n'a pas été en fermeture Administrative au moins 10 Jours</v>
      </c>
      <c r="E499" s="509"/>
      <c r="F499" s="509"/>
      <c r="G499" s="509"/>
      <c r="H499" s="509"/>
      <c r="I499" s="509"/>
      <c r="J499" s="509"/>
      <c r="K499" s="509"/>
      <c r="L499" s="509"/>
      <c r="M499" s="509"/>
      <c r="N499" s="509"/>
      <c r="O499" s="510"/>
      <c r="P499" s="1"/>
      <c r="T499" s="14"/>
      <c r="U499" s="1"/>
      <c r="V499" s="1"/>
      <c r="W499" s="1"/>
      <c r="X499" s="1"/>
      <c r="Y499" s="1"/>
      <c r="Z499" s="1"/>
      <c r="AA499" s="1"/>
      <c r="AB499" s="1"/>
      <c r="AC499" s="1"/>
      <c r="AD499" s="1"/>
      <c r="AE499" s="13"/>
    </row>
    <row r="500" spans="1:31" ht="15.75" hidden="1" customHeight="1">
      <c r="B500" s="168"/>
      <c r="C500" s="332"/>
      <c r="D500" s="511"/>
      <c r="E500" s="512"/>
      <c r="F500" s="512"/>
      <c r="G500" s="512"/>
      <c r="H500" s="512"/>
      <c r="I500" s="512"/>
      <c r="J500" s="512"/>
      <c r="K500" s="512"/>
      <c r="L500" s="512"/>
      <c r="M500" s="512"/>
      <c r="N500" s="512"/>
      <c r="O500" s="513"/>
      <c r="P500" s="1"/>
      <c r="T500" s="14"/>
      <c r="U500" s="1"/>
      <c r="V500" s="1"/>
      <c r="W500" s="1"/>
      <c r="X500" s="1"/>
      <c r="Y500" s="1"/>
      <c r="Z500" s="1"/>
      <c r="AA500" s="1"/>
      <c r="AB500" s="1"/>
      <c r="AC500" s="1"/>
      <c r="AD500" s="1"/>
      <c r="AE500" s="13"/>
    </row>
    <row r="501" spans="1:31" ht="15.75" hidden="1" customHeight="1">
      <c r="B501" s="103"/>
      <c r="C501" s="332"/>
      <c r="D501" s="511"/>
      <c r="E501" s="512"/>
      <c r="F501" s="512"/>
      <c r="G501" s="512"/>
      <c r="H501" s="512"/>
      <c r="I501" s="512"/>
      <c r="J501" s="512"/>
      <c r="K501" s="512"/>
      <c r="L501" s="512"/>
      <c r="M501" s="512"/>
      <c r="N501" s="512"/>
      <c r="O501" s="513"/>
      <c r="P501" s="1"/>
      <c r="T501" s="14"/>
      <c r="U501" s="1"/>
      <c r="V501" s="1"/>
      <c r="W501" s="1"/>
      <c r="X501" s="1"/>
      <c r="Y501" s="1"/>
      <c r="Z501" s="1"/>
      <c r="AA501" s="1"/>
      <c r="AB501" s="1"/>
      <c r="AC501" s="1"/>
      <c r="AD501" s="1"/>
      <c r="AE501" s="13"/>
    </row>
    <row r="502" spans="1:31" ht="15.75" hidden="1" customHeight="1" thickBot="1">
      <c r="B502" s="103"/>
      <c r="C502" s="332"/>
      <c r="D502" s="514"/>
      <c r="E502" s="515"/>
      <c r="F502" s="515"/>
      <c r="G502" s="515"/>
      <c r="H502" s="515"/>
      <c r="I502" s="515"/>
      <c r="J502" s="515"/>
      <c r="K502" s="515"/>
      <c r="L502" s="515"/>
      <c r="M502" s="515"/>
      <c r="N502" s="515"/>
      <c r="O502" s="516"/>
      <c r="P502" s="1"/>
      <c r="T502" s="14"/>
      <c r="U502" s="1"/>
      <c r="V502" s="1"/>
      <c r="W502" s="1"/>
      <c r="X502" s="1"/>
      <c r="Y502" s="1"/>
      <c r="Z502" s="1"/>
      <c r="AA502" s="1"/>
      <c r="AB502" s="1"/>
      <c r="AC502" s="1"/>
      <c r="AD502" s="1"/>
      <c r="AE502" s="13"/>
    </row>
    <row r="503" spans="1:31" ht="16.5" hidden="1" customHeight="1">
      <c r="B503" s="103"/>
      <c r="C503" s="169"/>
      <c r="D503" s="517"/>
      <c r="E503" s="517"/>
      <c r="F503" s="517"/>
      <c r="G503" s="517"/>
      <c r="H503" s="517"/>
      <c r="I503" s="517"/>
      <c r="J503" s="517"/>
      <c r="K503" s="517"/>
      <c r="L503" s="517"/>
      <c r="M503" s="517"/>
      <c r="N503" s="517"/>
      <c r="O503" s="517"/>
      <c r="P503" s="1"/>
      <c r="T503" s="518" t="s">
        <v>4</v>
      </c>
      <c r="U503" s="519"/>
      <c r="V503" s="519"/>
      <c r="W503" s="519"/>
      <c r="X503" s="519"/>
      <c r="Y503" s="519"/>
      <c r="Z503" s="139"/>
      <c r="AA503" s="145"/>
      <c r="AB503" s="194">
        <f>IFERROR(IF('Mon Entreprise'!K8&gt;=Annexes!Q18,0,1-'Mon Entreprise'!M118/2/AB495),0)</f>
        <v>0</v>
      </c>
      <c r="AC503" s="1"/>
      <c r="AD503" s="1"/>
      <c r="AE503" s="13"/>
    </row>
    <row r="504" spans="1:31" ht="16.5" hidden="1" customHeight="1">
      <c r="B504" s="103"/>
      <c r="C504" s="332"/>
      <c r="D504" s="306"/>
      <c r="E504" s="306"/>
      <c r="F504" s="306"/>
      <c r="G504" s="306"/>
      <c r="H504" s="306"/>
      <c r="I504" s="306"/>
      <c r="J504" s="306"/>
      <c r="K504" s="306"/>
      <c r="L504" s="306"/>
      <c r="M504" s="306"/>
      <c r="N504" s="306"/>
      <c r="O504" s="306"/>
      <c r="P504" s="1"/>
      <c r="T504" s="110"/>
      <c r="U504" s="520" t="s">
        <v>102</v>
      </c>
      <c r="V504" s="520"/>
      <c r="W504" s="520"/>
      <c r="X504" s="520"/>
      <c r="Y504" s="520"/>
      <c r="Z504" s="139"/>
      <c r="AA504" s="145"/>
      <c r="AB504" s="194">
        <f>IFERROR(IF('Mon Entreprise'!K8&gt;Annexes!Q29,0,IF('Mon Entreprise'!K8&gt;Annexes!Q26,1,1-'Mon Entreprise'!M114/AB495)),0)</f>
        <v>0</v>
      </c>
      <c r="AC504" s="1"/>
      <c r="AD504" s="1"/>
      <c r="AE504" s="13"/>
    </row>
    <row r="505" spans="1:31" ht="16.5" hidden="1" customHeight="1">
      <c r="B505" s="103"/>
      <c r="C505" s="505" t="s">
        <v>515</v>
      </c>
      <c r="D505" s="505"/>
      <c r="E505" s="505"/>
      <c r="F505" s="505"/>
      <c r="G505" s="505"/>
      <c r="H505" s="505"/>
      <c r="I505" s="505"/>
      <c r="J505" s="505"/>
      <c r="K505" s="505"/>
      <c r="L505" s="505"/>
      <c r="M505" s="505"/>
      <c r="N505" s="505"/>
      <c r="O505" s="505"/>
      <c r="P505" s="1"/>
      <c r="T505" s="110"/>
      <c r="U505" s="520" t="s">
        <v>109</v>
      </c>
      <c r="V505" s="520"/>
      <c r="W505" s="520"/>
      <c r="X505" s="520"/>
      <c r="Y505" s="520"/>
      <c r="Z505" s="139"/>
      <c r="AA505" s="145"/>
      <c r="AB505" s="194">
        <f>IFERROR(IF(Annexes!O27&gt;'Mon Entreprise'!K8,1-'Mon Entreprise'!M98/'Mon Entreprise'!I98,0),0)</f>
        <v>0</v>
      </c>
      <c r="AC505" s="1"/>
      <c r="AD505" s="1"/>
      <c r="AE505" s="13"/>
    </row>
    <row r="506" spans="1:31" ht="16.5" hidden="1" customHeight="1">
      <c r="B506" s="103"/>
      <c r="C506" s="505"/>
      <c r="D506" s="505"/>
      <c r="E506" s="505"/>
      <c r="F506" s="505"/>
      <c r="G506" s="505"/>
      <c r="H506" s="505"/>
      <c r="I506" s="505"/>
      <c r="J506" s="505"/>
      <c r="K506" s="505"/>
      <c r="L506" s="505"/>
      <c r="M506" s="505"/>
      <c r="N506" s="505"/>
      <c r="O506" s="505"/>
      <c r="P506" s="1"/>
      <c r="T506" s="110"/>
      <c r="U506" s="368"/>
      <c r="V506" s="368"/>
      <c r="W506" s="368"/>
      <c r="X506" s="368"/>
      <c r="Y506" s="368"/>
      <c r="Z506" s="139"/>
      <c r="AA506" s="145"/>
      <c r="AB506" s="194"/>
      <c r="AC506" s="1"/>
      <c r="AD506" s="1"/>
      <c r="AE506" s="13"/>
    </row>
    <row r="507" spans="1:31" ht="16.5" hidden="1" customHeight="1">
      <c r="B507" s="103"/>
      <c r="C507" s="505"/>
      <c r="D507" s="505"/>
      <c r="E507" s="505"/>
      <c r="F507" s="505"/>
      <c r="G507" s="505"/>
      <c r="H507" s="505"/>
      <c r="I507" s="505"/>
      <c r="J507" s="505"/>
      <c r="K507" s="505"/>
      <c r="L507" s="505"/>
      <c r="M507" s="505"/>
      <c r="N507" s="505"/>
      <c r="O507" s="505"/>
      <c r="P507" s="1"/>
      <c r="T507" s="110"/>
      <c r="U507" s="337"/>
      <c r="V507" s="337"/>
      <c r="W507" s="337"/>
      <c r="X507" s="337"/>
      <c r="Y507" s="337"/>
      <c r="Z507" s="139"/>
      <c r="AA507" s="145"/>
      <c r="AB507" s="194"/>
      <c r="AC507" s="1"/>
      <c r="AD507" s="1"/>
      <c r="AE507" s="13"/>
    </row>
    <row r="508" spans="1:31" ht="16.5" hidden="1" customHeight="1">
      <c r="B508" s="103"/>
      <c r="C508" s="505"/>
      <c r="D508" s="505"/>
      <c r="E508" s="505"/>
      <c r="F508" s="505"/>
      <c r="G508" s="505"/>
      <c r="H508" s="505"/>
      <c r="I508" s="505"/>
      <c r="J508" s="505"/>
      <c r="K508" s="505"/>
      <c r="L508" s="505"/>
      <c r="M508" s="505"/>
      <c r="N508" s="505"/>
      <c r="O508" s="505"/>
      <c r="P508" s="1"/>
      <c r="T508" s="14"/>
      <c r="U508" s="521" t="s">
        <v>8</v>
      </c>
      <c r="V508" s="521"/>
      <c r="W508" s="521"/>
      <c r="X508" s="521"/>
      <c r="Y508" s="521"/>
      <c r="Z508" s="1"/>
      <c r="AA508" s="14"/>
      <c r="AB508" s="333" t="str">
        <f>IF((AND(Annexes!F5&gt;1,Annexes!F5&lt;=Annexes!H6,AB515&gt;=0.1)),"OUI","NON")</f>
        <v>NON</v>
      </c>
      <c r="AC508" s="1"/>
      <c r="AD508" s="1"/>
      <c r="AE508" s="13"/>
    </row>
    <row r="509" spans="1:31" ht="26.25" hidden="1" customHeight="1">
      <c r="B509" s="103"/>
      <c r="C509" s="352"/>
      <c r="D509" s="564" t="s">
        <v>513</v>
      </c>
      <c r="E509" s="564"/>
      <c r="F509" s="564"/>
      <c r="G509" s="564"/>
      <c r="H509" s="564"/>
      <c r="I509" s="564"/>
      <c r="J509" s="564"/>
      <c r="K509" s="564"/>
      <c r="L509" s="564"/>
      <c r="M509" s="564"/>
      <c r="N509" s="564"/>
      <c r="O509" s="564"/>
      <c r="P509" s="1"/>
      <c r="T509" s="14"/>
      <c r="U509" s="338"/>
      <c r="V509" s="338"/>
      <c r="W509" s="338"/>
      <c r="X509" s="338"/>
      <c r="Y509" s="338" t="s">
        <v>9</v>
      </c>
      <c r="Z509" s="1"/>
      <c r="AA509" s="14"/>
      <c r="AB509" s="333" t="str">
        <f>IF(AND(Annexes!F7&gt;1,Annexes!F7&lt;=Annexes!H8,AB515&gt;=0.1),"OUI","NON")</f>
        <v>NON</v>
      </c>
      <c r="AC509" s="1"/>
      <c r="AD509" s="1"/>
      <c r="AE509" s="13"/>
    </row>
    <row r="510" spans="1:31" ht="16.5" hidden="1" customHeight="1">
      <c r="B510" s="103"/>
      <c r="C510" s="332"/>
      <c r="D510" s="306"/>
      <c r="E510" s="522" t="str">
        <f>IF(AB513="NON","",IF(OR(AB508="OUI",AB510="OUI",AND(AB509="OUI",OR(AB503&gt;=Annexes!P5,AB504&gt;=Annexes!P5,'Mes Aides'!AB145&gt;=0.1))),"",IF(AND(AB509="OUI",OR(AB503&lt;Annexes!P5,AB504&lt;Annexes!P5,'Mes Aides'!AB198&lt;0.1)),"L'entreprise fait partie des entreprises mentionnées en annexe 2 du décret mais n'a pas eu une perte de CA d'au-Moins 80 %, entre le 15/03/2020 et le 15/05/2020 ou Novembre 2020 ou 10 % entre 2019 et 2020","L'entreprise ne fait pas partie des activités mentionnées aux annexes 1, 2 ou domicilé dans une des îles d'outre-mer.")))</f>
        <v>L'entreprise ne fait pas partie des activités mentionnées aux annexes 1, 2 ou domicilé dans une des îles d'outre-mer.</v>
      </c>
      <c r="F510" s="522"/>
      <c r="G510" s="522"/>
      <c r="H510" s="522"/>
      <c r="I510" s="522"/>
      <c r="J510" s="522"/>
      <c r="K510" s="522"/>
      <c r="L510" s="522"/>
      <c r="M510" s="522"/>
      <c r="N510" s="522"/>
      <c r="O510" s="522"/>
      <c r="P510" s="1"/>
      <c r="T510" s="491" t="s">
        <v>474</v>
      </c>
      <c r="U510" s="490"/>
      <c r="V510" s="490"/>
      <c r="W510" s="490"/>
      <c r="X510" s="490"/>
      <c r="Y510" s="490"/>
      <c r="Z510" s="1"/>
      <c r="AA510" s="14"/>
      <c r="AB510" s="333" t="str">
        <f>IF(AND(Annexes!M24=TRUE,AB515&gt;=0.1),"OUI","NON")</f>
        <v>NON</v>
      </c>
      <c r="AC510" s="1"/>
      <c r="AD510" s="1"/>
      <c r="AE510" s="13"/>
    </row>
    <row r="511" spans="1:31" ht="16.5" hidden="1" customHeight="1">
      <c r="B511" s="103"/>
      <c r="C511" s="332"/>
      <c r="D511" s="306"/>
      <c r="E511" s="522"/>
      <c r="F511" s="522"/>
      <c r="G511" s="522"/>
      <c r="H511" s="522"/>
      <c r="I511" s="522"/>
      <c r="J511" s="522"/>
      <c r="K511" s="522"/>
      <c r="L511" s="522"/>
      <c r="M511" s="522"/>
      <c r="N511" s="522"/>
      <c r="O511" s="522"/>
      <c r="P511" s="1"/>
      <c r="T511" s="14"/>
      <c r="U511" s="490" t="s">
        <v>490</v>
      </c>
      <c r="V511" s="490"/>
      <c r="W511" s="490"/>
      <c r="X511" s="490"/>
      <c r="Y511" s="490"/>
      <c r="Z511" s="1"/>
      <c r="AA511" s="14"/>
      <c r="AB511" s="333" t="b">
        <f>IF(AND(Annexes!M35=TRUE,,AB515&gt;=0.2),TRUE,FALSE)</f>
        <v>0</v>
      </c>
      <c r="AC511" s="1"/>
      <c r="AD511" s="1"/>
      <c r="AE511" s="13"/>
    </row>
    <row r="512" spans="1:31" ht="16.5" hidden="1" customHeight="1">
      <c r="A512" s="99"/>
      <c r="B512" s="103"/>
      <c r="C512" s="332"/>
      <c r="D512" s="523" t="str">
        <f>IFERROR(IF('Mon Entreprise'!K8&gt;=Annexes!O20,IF(AB482&gt;=AB484,"- Le CA de référence est celui de Juin 2019, soit une perte de "&amp;ROUND(AB482,0)&amp;" €"&amp;" ==&gt; "&amp;ROUND(AE482*100,0)&amp;" %","- Le CA de référence est celui de la création, soit une perte de "&amp;ROUND(AB484,0)&amp;" €"&amp;" ==&gt; "&amp;ROUND(AE484*100,0)&amp;" %"),IF(AB482&gt;=AB483,"- Le CA de référence est celui de Juin 2019, soit une perte de "&amp;ROUND(AB482,0)&amp;" €"&amp;" ==&gt; "&amp;ROUND(AE482*100,0)&amp;" %","- Le CA de référence est celui de l'exercice 2019, soit une perte de "&amp;ROUND(AB483,0)&amp;" €"&amp;" ==&gt; "&amp;ROUND(AE483*100,0)&amp;" %")),"")</f>
        <v>- Le CA de référence est celui de Juin 2019, soit une perte de 0 € ==&gt; 0 %</v>
      </c>
      <c r="E512" s="523"/>
      <c r="F512" s="523"/>
      <c r="G512" s="523"/>
      <c r="H512" s="523"/>
      <c r="I512" s="523"/>
      <c r="J512" s="523"/>
      <c r="K512" s="523"/>
      <c r="L512" s="523"/>
      <c r="M512" s="523"/>
      <c r="N512" s="523"/>
      <c r="O512" s="523"/>
      <c r="P512" s="1"/>
      <c r="T512" s="14"/>
      <c r="U512" s="333"/>
      <c r="V512" s="333"/>
      <c r="W512" s="333"/>
      <c r="X512" s="333"/>
      <c r="Y512" s="349" t="s">
        <v>491</v>
      </c>
      <c r="Z512" s="1"/>
      <c r="AA512" s="14"/>
      <c r="AB512" s="333" t="b">
        <f>IF(AND(Annexes!M36=TRUE,AB515&gt;=0.5),TRUE,FALSE)</f>
        <v>0</v>
      </c>
      <c r="AC512" s="1"/>
      <c r="AD512" s="1"/>
      <c r="AE512" s="13"/>
    </row>
    <row r="513" spans="1:31" ht="16.5" hidden="1" customHeight="1">
      <c r="A513" s="99"/>
      <c r="B513" s="103"/>
      <c r="C513" s="332"/>
      <c r="D513" s="524" t="str">
        <f>IFERROR(IF('Mon Entreprise'!K8&gt;=Annexes!O20,"",IF(AB482&lt;AB483,"A noter qu'il convient de choisir l'option retenue par l'entreprise lors de sa demande au titre du mois Février ou a défaut celui du mois de Mars, d'Avril, ou Mai 2021, si le CA de référence était celui de février (...) 2019,"&amp;" il convient de prendre celui de Juin 2019 (...), soit "&amp;ROUND(AB482,0)&amp;" €"&amp;" ==&gt; "&amp;ROUND(AE482*100,0)&amp;" %","A noter qu'il convient de choisir l'option retenue par l'entreprise lors de sa demande"&amp;" au titre du mois Février  ou a défaut celui du mois de Mars, d'Avril, ou Mai 2021, si le CA de référence était celui de l'exercice 2019, il convient de prendre celui de l'exercie 2019, soit une perte de "&amp;ROUND(AB483,0)&amp;" €"&amp;" ==&gt; "&amp;ROUND(AE483*100,0)&amp;" %")),"")</f>
        <v>A noter qu'il convient de choisir l'option retenue par l'entreprise lors de sa demande au titre du mois Février  ou a défaut celui du mois de Mars, d'Avril, ou Mai 2021, si le CA de référence était celui de l'exercice 2019, il convient de prendre celui de l'exercie 2019, soit une perte de 0 € ==&gt; 0 %</v>
      </c>
      <c r="E513" s="524"/>
      <c r="F513" s="524"/>
      <c r="G513" s="524"/>
      <c r="H513" s="524"/>
      <c r="I513" s="524"/>
      <c r="J513" s="524"/>
      <c r="K513" s="524"/>
      <c r="L513" s="524"/>
      <c r="M513" s="524"/>
      <c r="N513" s="524"/>
      <c r="O513" s="524"/>
      <c r="P513" s="1"/>
      <c r="T513" s="14"/>
      <c r="U513" s="525" t="s">
        <v>72</v>
      </c>
      <c r="V513" s="525"/>
      <c r="W513" s="525"/>
      <c r="X513" s="525"/>
      <c r="Y513" s="525"/>
      <c r="Z513" s="139"/>
      <c r="AA513" s="145"/>
      <c r="AB513" s="335" t="str">
        <f>IF(AB494="Oui","Oui","Non")</f>
        <v>Oui</v>
      </c>
      <c r="AC513" s="139"/>
      <c r="AD513" s="1"/>
      <c r="AE513" s="13"/>
    </row>
    <row r="514" spans="1:31" ht="16.5" hidden="1" customHeight="1">
      <c r="A514" s="99"/>
      <c r="B514" s="103"/>
      <c r="C514" s="332"/>
      <c r="D514" s="524"/>
      <c r="E514" s="524"/>
      <c r="F514" s="524"/>
      <c r="G514" s="524"/>
      <c r="H514" s="524"/>
      <c r="I514" s="524"/>
      <c r="J514" s="524"/>
      <c r="K514" s="524"/>
      <c r="L514" s="524"/>
      <c r="M514" s="524"/>
      <c r="N514" s="524"/>
      <c r="O514" s="524"/>
      <c r="P514" s="1"/>
      <c r="T514" s="14"/>
      <c r="U514" s="525" t="s">
        <v>84</v>
      </c>
      <c r="V514" s="525"/>
      <c r="W514" s="525"/>
      <c r="X514" s="525"/>
      <c r="Y514" s="525"/>
      <c r="Z514" s="139"/>
      <c r="AA514" s="145"/>
      <c r="AB514" s="335">
        <f>IF('Mon Entreprise'!K8&gt;=Annexes!O20,IF(AB482&gt;=AB484,AB482,AB484),IF(AB482&gt;=AB483,AB482,AB483))</f>
        <v>0</v>
      </c>
      <c r="AC514" s="139"/>
      <c r="AD514" s="1"/>
      <c r="AE514" s="13"/>
    </row>
    <row r="515" spans="1:31" ht="16.5" hidden="1" customHeight="1">
      <c r="B515" s="103"/>
      <c r="C515" s="332"/>
      <c r="D515" s="215"/>
      <c r="E515" s="331"/>
      <c r="F515" s="331"/>
      <c r="G515" s="331"/>
      <c r="H515" s="331"/>
      <c r="I515" s="331"/>
      <c r="J515" s="331"/>
      <c r="K515" s="331"/>
      <c r="L515" s="331"/>
      <c r="M515" s="331"/>
      <c r="N515" s="331"/>
      <c r="O515" s="331"/>
      <c r="P515" s="1"/>
      <c r="T515" s="14"/>
      <c r="U515" s="525" t="s">
        <v>85</v>
      </c>
      <c r="V515" s="525"/>
      <c r="W515" s="525"/>
      <c r="X515" s="525"/>
      <c r="Y515" s="525"/>
      <c r="Z515" s="139"/>
      <c r="AA515" s="145"/>
      <c r="AB515" s="335">
        <f>IF('Mon Entreprise'!K8&gt;=Annexes!O20,IF(AB482&gt;=AB484,AE482,AE484),IF(AB482&gt;=AB483,AE482,AE483))</f>
        <v>0</v>
      </c>
      <c r="AC515" s="139"/>
      <c r="AD515" s="1"/>
      <c r="AE515" s="13"/>
    </row>
    <row r="516" spans="1:31" ht="16.5" hidden="1" customHeight="1" thickBot="1">
      <c r="B516" s="103"/>
      <c r="C516" s="332"/>
      <c r="D516" s="331"/>
      <c r="E516" s="331"/>
      <c r="F516" s="331"/>
      <c r="G516" s="331"/>
      <c r="H516" s="331"/>
      <c r="I516" s="331"/>
      <c r="J516" s="331"/>
      <c r="K516" s="331"/>
      <c r="L516" s="331"/>
      <c r="M516" s="331"/>
      <c r="N516" s="331"/>
      <c r="O516" s="331"/>
      <c r="P516" s="1"/>
      <c r="T516" s="14"/>
      <c r="U516" s="502" t="s">
        <v>74</v>
      </c>
      <c r="V516" s="502"/>
      <c r="W516" s="502"/>
      <c r="X516" s="502"/>
      <c r="Y516" s="502"/>
      <c r="Z516" s="139"/>
      <c r="AA516" s="145"/>
      <c r="AB516" s="335">
        <v>1</v>
      </c>
      <c r="AC516" s="139"/>
      <c r="AD516" s="1"/>
      <c r="AE516" s="13"/>
    </row>
    <row r="517" spans="1:31" ht="16.5" hidden="1" customHeight="1">
      <c r="B517" s="103"/>
      <c r="C517" s="332"/>
      <c r="D517" s="527" t="str">
        <f>IFERROR(IF(AB513="NON","Vous avez débuté votre activité après le 31 Janvier 2020, vous ne pouvez donc pas bénéficier de cette aide",IF(OR(AB508="OUI",AB510="OUI",AND(AB509="OUI",OR(AB503&lt;Annexes!P5,AB504&lt;Annexes!P5,'Mes Aides'!AB198&lt;0.1))),IF(AND(0.4*AB518&gt;Annexes!O8,0.2*AB517&gt;Annexes!O8),"Dans votre cas, l'aide est plafonnée, à "&amp;Annexes!O8&amp;" € pour le mois de Juin",IF(0.4*AB518&gt;=0.2*AB517,"Dans votre cas, 40 % de la perte est supérieur à 20 % du CA, l'aide est donc plafonnée à 20 % du CA, soit "&amp;ROUND(0.2*AB517,0)&amp;" € pour le mois de Juin","Dans votre cas, 40% de la perte est inférieure à 20 % du CA, l'aide est donc plafonnée à 40 % de la perte, soit "&amp;ROUND(0.4*AB518,0)&amp;" € pour le mois de Juin")),"Vous ne faites pas partie des entreprises ayant leur activité mentionnée en annexe 1, ou en annexe 2, avec une perte de CA "&amp;"d'au moins 80 % entre le 15/03/2020 et le 15/05/2020 ou au mois de Novembre 2020 ou une perte de 10 % entre 2019 et 2020, ou domicilié dans les îles d'outre-mer")),"Vous n'avez pas indiqué de chiffre d'affaires de référence")</f>
        <v>Vous ne faites pas partie des entreprises ayant leur activité mentionnée en annexe 1, ou en annexe 2, avec une perte de CA d'au moins 80 % entre le 15/03/2020 et le 15/05/2020 ou au mois de Novembre 2020 ou une perte de 10 % entre 2019 et 2020, ou domicilié dans les îles d'outre-mer</v>
      </c>
      <c r="E517" s="509"/>
      <c r="F517" s="509"/>
      <c r="G517" s="509"/>
      <c r="H517" s="509"/>
      <c r="I517" s="509"/>
      <c r="J517" s="509"/>
      <c r="K517" s="509"/>
      <c r="L517" s="509"/>
      <c r="M517" s="509"/>
      <c r="N517" s="509"/>
      <c r="O517" s="510"/>
      <c r="P517" s="1"/>
      <c r="T517" s="14"/>
      <c r="U517" s="502" t="s">
        <v>80</v>
      </c>
      <c r="V517" s="502"/>
      <c r="W517" s="502"/>
      <c r="X517" s="502"/>
      <c r="Y517" s="502"/>
      <c r="Z517" s="139"/>
      <c r="AA517" s="145"/>
      <c r="AB517" s="335">
        <f>IF('Mon Entreprise'!K8&gt;=Annexes!O20,IF(AB482&gt;=AB484,Y482,Y484),IF(AB482&gt;=AB483,Y482,Y483))</f>
        <v>0</v>
      </c>
      <c r="AC517" s="139"/>
      <c r="AD517" s="1"/>
      <c r="AE517" s="13"/>
    </row>
    <row r="518" spans="1:31" ht="16.5" hidden="1" customHeight="1">
      <c r="B518" s="173"/>
      <c r="C518" s="332"/>
      <c r="D518" s="511"/>
      <c r="E518" s="512"/>
      <c r="F518" s="512"/>
      <c r="G518" s="512"/>
      <c r="H518" s="512"/>
      <c r="I518" s="512"/>
      <c r="J518" s="512"/>
      <c r="K518" s="512"/>
      <c r="L518" s="512"/>
      <c r="M518" s="512"/>
      <c r="N518" s="512"/>
      <c r="O518" s="513"/>
      <c r="P518" s="1"/>
      <c r="T518" s="14"/>
      <c r="U518" s="490" t="s">
        <v>104</v>
      </c>
      <c r="V518" s="490"/>
      <c r="W518" s="490"/>
      <c r="X518" s="490"/>
      <c r="Y518" s="490"/>
      <c r="Z518" s="1"/>
      <c r="AA518" s="14"/>
      <c r="AB518" s="333">
        <f>IF(AB516=1,AB514,IF(AB514*AB516&gt;1500,IF(AB514&gt;1500,AB514*AB516,"Impossible"),IF(AB514&lt;1500,AB514,1500)))</f>
        <v>0</v>
      </c>
      <c r="AC518" s="1"/>
      <c r="AD518" s="1"/>
      <c r="AE518" s="13"/>
    </row>
    <row r="519" spans="1:31" ht="16.5" hidden="1" customHeight="1">
      <c r="B519" s="103"/>
      <c r="C519" s="332"/>
      <c r="D519" s="511"/>
      <c r="E519" s="512"/>
      <c r="F519" s="512"/>
      <c r="G519" s="512"/>
      <c r="H519" s="512"/>
      <c r="I519" s="512"/>
      <c r="J519" s="512"/>
      <c r="K519" s="512"/>
      <c r="L519" s="512"/>
      <c r="M519" s="512"/>
      <c r="N519" s="512"/>
      <c r="O519" s="513"/>
      <c r="P519" s="1"/>
      <c r="T519" s="14"/>
      <c r="U519" s="333"/>
      <c r="V519" s="333"/>
      <c r="W519" s="333"/>
      <c r="X519" s="333"/>
      <c r="Y519" s="333"/>
      <c r="Z519" s="1"/>
      <c r="AA519" s="1"/>
      <c r="AB519" s="1"/>
      <c r="AC519" s="1"/>
      <c r="AD519" s="1"/>
      <c r="AE519" s="13"/>
    </row>
    <row r="520" spans="1:31" ht="16.5" hidden="1" customHeight="1" thickBot="1">
      <c r="B520" s="103"/>
      <c r="C520" s="332"/>
      <c r="D520" s="514"/>
      <c r="E520" s="515"/>
      <c r="F520" s="515"/>
      <c r="G520" s="515"/>
      <c r="H520" s="515"/>
      <c r="I520" s="515"/>
      <c r="J520" s="515"/>
      <c r="K520" s="515"/>
      <c r="L520" s="515"/>
      <c r="M520" s="515"/>
      <c r="N520" s="515"/>
      <c r="O520" s="516"/>
      <c r="P520" s="1"/>
      <c r="T520" s="14"/>
      <c r="U520" s="490"/>
      <c r="V520" s="490"/>
      <c r="W520" s="490"/>
      <c r="X520" s="490"/>
      <c r="Y520" s="490"/>
      <c r="Z520" s="1"/>
      <c r="AA520" s="1"/>
      <c r="AB520" s="1"/>
      <c r="AC520" s="1"/>
      <c r="AD520" s="1"/>
      <c r="AE520" s="13"/>
    </row>
    <row r="521" spans="1:31" ht="16.5" hidden="1" customHeight="1">
      <c r="B521" s="103"/>
      <c r="C521" s="169"/>
      <c r="D521" s="174"/>
      <c r="E521" s="174"/>
      <c r="F521" s="174"/>
      <c r="G521" s="174"/>
      <c r="H521" s="174"/>
      <c r="I521" s="174"/>
      <c r="J521" s="174"/>
      <c r="K521" s="174"/>
      <c r="L521" s="174"/>
      <c r="M521" s="174"/>
      <c r="N521" s="174"/>
      <c r="O521" s="174"/>
      <c r="P521" s="1"/>
      <c r="T521" s="14"/>
      <c r="U521" s="333"/>
      <c r="V521" s="333"/>
      <c r="W521" s="333"/>
      <c r="X521" s="333"/>
      <c r="Y521" s="333"/>
      <c r="Z521" s="1"/>
      <c r="AA521" s="1"/>
      <c r="AB521" s="1"/>
      <c r="AC521" s="1"/>
      <c r="AD521" s="1"/>
      <c r="AE521" s="13"/>
    </row>
    <row r="522" spans="1:31" ht="16.5" hidden="1" customHeight="1">
      <c r="B522" s="103"/>
      <c r="C522" s="332"/>
      <c r="D522" s="331"/>
      <c r="E522" s="331"/>
      <c r="F522" s="331"/>
      <c r="G522" s="331"/>
      <c r="H522" s="331"/>
      <c r="I522" s="331"/>
      <c r="J522" s="331"/>
      <c r="K522" s="331"/>
      <c r="L522" s="331"/>
      <c r="M522" s="331"/>
      <c r="N522" s="331"/>
      <c r="O522" s="331"/>
      <c r="P522" s="1"/>
      <c r="T522" s="14"/>
      <c r="U522" s="1"/>
      <c r="V522" s="1"/>
      <c r="W522" s="1"/>
      <c r="X522" s="1"/>
      <c r="Y522" s="1"/>
      <c r="Z522" s="1"/>
      <c r="AA522" s="1"/>
      <c r="AB522" s="1"/>
      <c r="AC522" s="1"/>
      <c r="AD522" s="1"/>
      <c r="AE522" s="13"/>
    </row>
    <row r="523" spans="1:31" ht="16.5" hidden="1" customHeight="1">
      <c r="B523" s="103"/>
      <c r="C523" s="529" t="s">
        <v>479</v>
      </c>
      <c r="D523" s="529"/>
      <c r="E523" s="529"/>
      <c r="F523" s="529"/>
      <c r="G523" s="529"/>
      <c r="H523" s="529"/>
      <c r="I523" s="529"/>
      <c r="J523" s="529"/>
      <c r="K523" s="529"/>
      <c r="L523" s="529"/>
      <c r="M523" s="529"/>
      <c r="N523" s="529"/>
      <c r="O523" s="529"/>
      <c r="P523" s="1"/>
      <c r="T523" s="14"/>
      <c r="U523" s="1"/>
      <c r="V523" s="1"/>
      <c r="W523" s="1"/>
      <c r="X523" s="1"/>
      <c r="Y523" s="1"/>
      <c r="Z523" s="1"/>
      <c r="AA523" s="1"/>
      <c r="AB523" s="1"/>
      <c r="AC523" s="1"/>
      <c r="AD523" s="1"/>
      <c r="AE523" s="13"/>
    </row>
    <row r="524" spans="1:31" ht="16.5" hidden="1" customHeight="1">
      <c r="B524" s="173"/>
      <c r="C524" s="332"/>
      <c r="D524" s="306"/>
      <c r="E524" s="528" t="str">
        <f>IF(AB513="NON","",IF(AB511=TRUE,"","L'entreprise n'a pas été en fermeture administrative sur le mois avec une perte de 20 % de CA"))</f>
        <v>L'entreprise n'a pas été en fermeture administrative sur le mois avec une perte de 20 % de CA</v>
      </c>
      <c r="F524" s="528"/>
      <c r="G524" s="528"/>
      <c r="H524" s="528"/>
      <c r="I524" s="528"/>
      <c r="J524" s="528"/>
      <c r="K524" s="528"/>
      <c r="L524" s="528"/>
      <c r="M524" s="528"/>
      <c r="N524" s="528"/>
      <c r="O524" s="528"/>
      <c r="P524" s="1"/>
      <c r="T524" s="14"/>
      <c r="U524" s="502" t="s">
        <v>82</v>
      </c>
      <c r="V524" s="502"/>
      <c r="W524" s="502"/>
      <c r="X524" s="502"/>
      <c r="Y524" s="502"/>
      <c r="Z524" s="68"/>
      <c r="AA524" s="1"/>
      <c r="AB524" s="1">
        <f>IFERROR(IF(AB494="Non",0,IF(AND(AB512=TRUE,AB497&gt;=0.5),IF(AB496&gt;Annexes!O5,Annexes!O5,ROUND(AB496,0)),0)),0)</f>
        <v>0</v>
      </c>
      <c r="AC524" s="1"/>
      <c r="AD524" s="1"/>
      <c r="AE524" s="13"/>
    </row>
    <row r="525" spans="1:31" ht="15" hidden="1" customHeight="1">
      <c r="B525" s="173"/>
      <c r="C525" s="332"/>
      <c r="D525" s="306"/>
      <c r="E525" s="528"/>
      <c r="F525" s="528"/>
      <c r="G525" s="528"/>
      <c r="H525" s="528"/>
      <c r="I525" s="528"/>
      <c r="J525" s="528"/>
      <c r="K525" s="528"/>
      <c r="L525" s="528"/>
      <c r="M525" s="528"/>
      <c r="N525" s="528"/>
      <c r="O525" s="528"/>
      <c r="P525" s="1"/>
      <c r="T525" s="14"/>
      <c r="U525" s="502" t="s">
        <v>477</v>
      </c>
      <c r="V525" s="502"/>
      <c r="W525" s="502"/>
      <c r="X525" s="502"/>
      <c r="Y525" s="502"/>
      <c r="Z525" s="68"/>
      <c r="AA525" s="1"/>
      <c r="AB525" s="1">
        <f>IFERROR(IF(AB513="NON",0,IF(OR(AB508="OUI",AB510="OUI",AND(AB509="OUI",OR(AB503&lt;Annexes!P5,AB504&lt;Annexes!P5,'Mes Aides'!AB198&lt;0.1))),IF(AND(0.4*AB518,0.2*AB517)&lt;Annexes!O8,Annexes!O8,IF(0.4*AB518&gt;=0.2*AB517,ROUND(0.2*AB517,0),ROUND(0.4*AB518,0))),0)),0)</f>
        <v>0</v>
      </c>
      <c r="AC525" s="1"/>
      <c r="AD525" s="1"/>
      <c r="AE525" s="13"/>
    </row>
    <row r="526" spans="1:31" ht="15" hidden="1" customHeight="1">
      <c r="B526" s="173"/>
      <c r="C526" s="332"/>
      <c r="D526" s="306"/>
      <c r="E526" s="353"/>
      <c r="F526" s="353"/>
      <c r="G526" s="353"/>
      <c r="H526" s="353"/>
      <c r="I526" s="353"/>
      <c r="J526" s="353"/>
      <c r="K526" s="353"/>
      <c r="L526" s="353"/>
      <c r="M526" s="353"/>
      <c r="N526" s="353"/>
      <c r="O526" s="353"/>
      <c r="P526" s="1"/>
      <c r="T526" s="14"/>
      <c r="U526" s="502" t="s">
        <v>478</v>
      </c>
      <c r="V526" s="502"/>
      <c r="W526" s="502"/>
      <c r="X526" s="502"/>
      <c r="Y526" s="502"/>
      <c r="Z526" s="68"/>
      <c r="AA526" s="1"/>
      <c r="AB526" s="1">
        <f>IFERROR(IF(AB513="NON",0,IF(AB511=TRUE,IF(AB517*0.2&gt;Annexes!O8,Annexes!O8,ROUND(AB517*0.2,0)),0)),0)</f>
        <v>0</v>
      </c>
      <c r="AC526" s="1"/>
      <c r="AD526" s="1"/>
      <c r="AE526" s="13"/>
    </row>
    <row r="527" spans="1:31" ht="16.5" hidden="1" customHeight="1">
      <c r="B527" s="173"/>
      <c r="C527" s="332"/>
      <c r="D527" s="417" t="str">
        <f>IFERROR(IF('Mon Entreprise'!K8&gt;=Annexes!O20,IF(AB482&gt;=AB484,"- Le CA de référence est celui de Juin 2019, soit une perte de "&amp;ROUND(AB482,0)&amp;" €"&amp;" ==&gt; "&amp;ROUND(AE482*100,0)&amp;" %","- Le CA de référence est celui de la création, soit une perte de "&amp;ROUND(AB484,0)&amp;" €"&amp;" ==&gt; "&amp;ROUND(AE484*100,0)&amp;" %"),IF(AB482&gt;=AB483,"- Le CA de référence est celui de Juin 2019, soit une perte de "&amp;ROUND(AB482,0)&amp;" €"&amp;" ==&gt; "&amp;ROUND(AE482*100,0)&amp;" %","- Le CA de référence est celui de l'exercice 2019, soit une perte de "&amp;ROUND(AB483,0)&amp;" €"&amp;" ==&gt; "&amp;ROUND(AE483*100,0)&amp;" %")),"")</f>
        <v>- Le CA de référence est celui de Juin 2019, soit une perte de 0 € ==&gt; 0 %</v>
      </c>
      <c r="E527" s="417"/>
      <c r="F527" s="417"/>
      <c r="G527" s="417"/>
      <c r="H527" s="417"/>
      <c r="I527" s="417"/>
      <c r="J527" s="417"/>
      <c r="K527" s="417"/>
      <c r="L527" s="417"/>
      <c r="M527" s="417"/>
      <c r="N527" s="417"/>
      <c r="O527" s="417"/>
      <c r="P527" s="331"/>
      <c r="Q527" s="331"/>
      <c r="T527" s="14"/>
      <c r="U527" s="1"/>
      <c r="V527" s="1"/>
      <c r="W527" s="1"/>
      <c r="X527" s="1"/>
      <c r="Y527" s="1"/>
      <c r="Z527" s="1"/>
      <c r="AA527" s="1"/>
      <c r="AB527" s="1"/>
      <c r="AC527" s="1"/>
      <c r="AD527" s="1"/>
      <c r="AE527" s="13"/>
    </row>
    <row r="528" spans="1:31" ht="16.5" hidden="1" customHeight="1">
      <c r="B528" s="173"/>
      <c r="C528" s="332"/>
      <c r="D528" s="524" t="str">
        <f>IFERROR(IF('Mon Entreprise'!K8&gt;=Annexes!O20,"",IF(AB482&lt;AB483,"A noter qu'il convient de choisir l'option retenue par l'entreprise lors de sa demande au titre du mois Février ou a défaut celui du mois de Mars, Avril, ou Mai 2021, si le CA de référence était celui de février (...) 2019, il convient"&amp;" de prendre celui de Juin 2019 (...), soit "&amp;ROUND(AB482,0)&amp;" €"&amp;" ==&gt; "&amp;ROUND(AE482*100,0)&amp;" %","A noter qu'il convient de choisir l'option retenue par l'entreprise lors de sa demande au titre du mois Février "&amp;"ou a défaut celui du mois de Mars, Avril, ou Mai 2021, si le CA de référence était celui de l'exercice 2019, il convient de prendre celui de l'exercie 2019, soit une perte de "&amp;ROUND(AB483,0)&amp;" €"&amp;" ==&gt; "&amp;ROUND(AE483*100,0)&amp;" %")),"")</f>
        <v>A noter qu'il convient de choisir l'option retenue par l'entreprise lors de sa demande au titre du mois Février ou a défaut celui du mois de Mars, Avril, ou Mai 2021, si le CA de référence était celui de l'exercice 2019, il convient de prendre celui de l'exercie 2019, soit une perte de 0 € ==&gt; 0 %</v>
      </c>
      <c r="E528" s="524"/>
      <c r="F528" s="524"/>
      <c r="G528" s="524"/>
      <c r="H528" s="524"/>
      <c r="I528" s="524"/>
      <c r="J528" s="524"/>
      <c r="K528" s="524"/>
      <c r="L528" s="524"/>
      <c r="M528" s="524"/>
      <c r="N528" s="524"/>
      <c r="O528" s="524"/>
      <c r="P528" s="331"/>
      <c r="Q528" s="331"/>
      <c r="T528" s="14"/>
      <c r="U528" s="1"/>
      <c r="V528" s="1"/>
      <c r="W528" s="1"/>
      <c r="X528" s="1"/>
      <c r="Y528" s="1"/>
      <c r="Z528" s="1"/>
      <c r="AA528" s="1"/>
      <c r="AB528" s="1"/>
      <c r="AC528" s="1"/>
      <c r="AD528" s="1"/>
      <c r="AE528" s="13"/>
    </row>
    <row r="529" spans="2:31" ht="16.5" hidden="1" customHeight="1">
      <c r="B529" s="173"/>
      <c r="C529" s="332"/>
      <c r="D529" s="524"/>
      <c r="E529" s="524"/>
      <c r="F529" s="524"/>
      <c r="G529" s="524"/>
      <c r="H529" s="524"/>
      <c r="I529" s="524"/>
      <c r="J529" s="524"/>
      <c r="K529" s="524"/>
      <c r="L529" s="524"/>
      <c r="M529" s="524"/>
      <c r="N529" s="524"/>
      <c r="O529" s="524"/>
      <c r="P529" s="331"/>
      <c r="Q529" s="331"/>
      <c r="T529" s="14"/>
      <c r="U529" s="1"/>
      <c r="V529" s="1"/>
      <c r="W529" s="1"/>
      <c r="X529" s="1"/>
      <c r="Y529" s="1"/>
      <c r="Z529" s="1"/>
      <c r="AA529" s="1"/>
      <c r="AB529" s="1"/>
      <c r="AC529" s="1"/>
      <c r="AD529" s="1"/>
      <c r="AE529" s="13"/>
    </row>
    <row r="530" spans="2:31" ht="16.5" hidden="1" customHeight="1" thickBot="1">
      <c r="B530" s="168"/>
      <c r="C530" s="332"/>
      <c r="D530" s="205"/>
      <c r="E530" s="331"/>
      <c r="F530" s="331"/>
      <c r="G530" s="331"/>
      <c r="H530" s="331"/>
      <c r="I530" s="331"/>
      <c r="J530" s="331"/>
      <c r="K530" s="331"/>
      <c r="L530" s="331"/>
      <c r="M530" s="331"/>
      <c r="N530" s="331"/>
      <c r="O530" s="331"/>
      <c r="P530" s="331"/>
      <c r="Q530" s="331"/>
      <c r="T530" s="14"/>
      <c r="U530" s="1"/>
      <c r="V530" s="1"/>
      <c r="W530" s="1"/>
      <c r="X530" s="1"/>
      <c r="Y530" s="1"/>
      <c r="Z530" s="1"/>
      <c r="AA530" s="1"/>
      <c r="AB530" s="1"/>
      <c r="AC530" s="1"/>
      <c r="AD530" s="1"/>
      <c r="AE530" s="13"/>
    </row>
    <row r="531" spans="2:31" ht="16.5" hidden="1" customHeight="1">
      <c r="B531" s="103"/>
      <c r="C531" s="180"/>
      <c r="D531" s="526" t="str">
        <f>IFERROR(IF(AB513="NON","Vous avez débuté votre activité après le 31 Janvier 2020, vous ne pouvez donc pas bénéficier de cette aide",IF(AB511=TRUE,IF(AB517*0.2&gt;Annexes!O8,"Dans votre cas, l'aide est plafonnée, à "&amp;Annexes!O8&amp;" € pour le mois de Juin","Dans votre cas, l'aide est plafonnée à 20 % du CA, soit "&amp;ROUND(AB517*0.2,0)&amp;" € pour le mois de Juin"),"Vous ne faites pas partie des entreprises en fermeture Administrative avec 20 % de perte de CA")),"Vous n'avez pas indiqué de chiffre d'affaires de référence")</f>
        <v>Vous ne faites pas partie des entreprises en fermeture Administrative avec 20 % de perte de CA</v>
      </c>
      <c r="E531" s="509"/>
      <c r="F531" s="509"/>
      <c r="G531" s="509"/>
      <c r="H531" s="509"/>
      <c r="I531" s="509"/>
      <c r="J531" s="509"/>
      <c r="K531" s="509"/>
      <c r="L531" s="509"/>
      <c r="M531" s="509"/>
      <c r="N531" s="509"/>
      <c r="O531" s="510"/>
      <c r="P531" s="331"/>
      <c r="Q531" s="331"/>
      <c r="T531" s="14"/>
      <c r="U531" s="1"/>
      <c r="V531" s="1"/>
      <c r="W531" s="1"/>
      <c r="X531" s="1"/>
      <c r="Y531" s="1"/>
      <c r="Z531" s="1"/>
      <c r="AA531" s="1"/>
      <c r="AB531" s="1"/>
      <c r="AC531" s="1"/>
      <c r="AD531" s="1"/>
      <c r="AE531" s="13"/>
    </row>
    <row r="532" spans="2:31" ht="16.5" hidden="1" customHeight="1">
      <c r="B532" s="103"/>
      <c r="C532" s="180"/>
      <c r="D532" s="511"/>
      <c r="E532" s="512"/>
      <c r="F532" s="512"/>
      <c r="G532" s="512"/>
      <c r="H532" s="512"/>
      <c r="I532" s="512"/>
      <c r="J532" s="512"/>
      <c r="K532" s="512"/>
      <c r="L532" s="512"/>
      <c r="M532" s="512"/>
      <c r="N532" s="512"/>
      <c r="O532" s="513"/>
      <c r="P532" s="331"/>
      <c r="Q532" s="331"/>
      <c r="T532" s="14"/>
      <c r="U532" s="1"/>
      <c r="V532" s="1"/>
      <c r="W532" s="1"/>
      <c r="X532" s="1"/>
      <c r="Y532" s="1"/>
      <c r="Z532" s="1"/>
      <c r="AA532" s="1"/>
      <c r="AB532" s="1"/>
      <c r="AC532" s="1"/>
      <c r="AD532" s="1"/>
      <c r="AE532" s="13"/>
    </row>
    <row r="533" spans="2:31" ht="16.5" hidden="1" customHeight="1">
      <c r="B533" s="103"/>
      <c r="C533" s="180"/>
      <c r="D533" s="511"/>
      <c r="E533" s="512"/>
      <c r="F533" s="512"/>
      <c r="G533" s="512"/>
      <c r="H533" s="512"/>
      <c r="I533" s="512"/>
      <c r="J533" s="512"/>
      <c r="K533" s="512"/>
      <c r="L533" s="512"/>
      <c r="M533" s="512"/>
      <c r="N533" s="512"/>
      <c r="O533" s="513"/>
      <c r="P533" s="175"/>
      <c r="Q533" s="175"/>
      <c r="T533" s="14"/>
      <c r="U533" s="1"/>
      <c r="V533" s="1"/>
      <c r="W533" s="1"/>
      <c r="X533" s="1"/>
      <c r="Y533" s="1"/>
      <c r="Z533" s="1"/>
      <c r="AA533" s="1"/>
      <c r="AB533" s="1"/>
      <c r="AC533" s="1"/>
      <c r="AD533" s="1"/>
      <c r="AE533" s="13"/>
    </row>
    <row r="534" spans="2:31" ht="16.5" hidden="1" customHeight="1" thickBot="1">
      <c r="B534" s="103"/>
      <c r="C534" s="180"/>
      <c r="D534" s="514"/>
      <c r="E534" s="515"/>
      <c r="F534" s="515"/>
      <c r="G534" s="515"/>
      <c r="H534" s="515"/>
      <c r="I534" s="515"/>
      <c r="J534" s="515"/>
      <c r="K534" s="515"/>
      <c r="L534" s="515"/>
      <c r="M534" s="515"/>
      <c r="N534" s="515"/>
      <c r="O534" s="516"/>
      <c r="T534" s="14"/>
      <c r="U534" s="1"/>
      <c r="V534" s="1"/>
      <c r="W534" s="1"/>
      <c r="X534" s="1"/>
      <c r="Y534" s="1"/>
      <c r="Z534" s="1"/>
      <c r="AA534" s="1"/>
      <c r="AB534" s="1"/>
      <c r="AC534" s="1"/>
      <c r="AD534" s="1"/>
      <c r="AE534" s="13"/>
    </row>
    <row r="535" spans="2:31" ht="16.5" hidden="1" customHeight="1">
      <c r="B535" s="5"/>
      <c r="C535" s="5"/>
      <c r="D535" s="354"/>
      <c r="E535" s="354"/>
      <c r="F535" s="354"/>
      <c r="G535" s="354"/>
      <c r="H535" s="354"/>
      <c r="I535" s="354"/>
      <c r="J535" s="354"/>
      <c r="K535" s="354"/>
      <c r="L535" s="354"/>
      <c r="M535" s="354"/>
      <c r="N535" s="354"/>
      <c r="O535" s="354"/>
      <c r="P535" s="177"/>
      <c r="Q535" s="177"/>
      <c r="T535" s="14"/>
      <c r="U535" s="1"/>
      <c r="V535" s="1"/>
      <c r="W535" s="1"/>
      <c r="X535" s="1"/>
      <c r="Y535" s="1"/>
      <c r="Z535" s="1"/>
      <c r="AA535" s="1"/>
      <c r="AB535" s="1"/>
      <c r="AC535" s="1"/>
      <c r="AD535" s="1"/>
      <c r="AE535" s="13"/>
    </row>
    <row r="536" spans="2:31" ht="16.5" thickBot="1">
      <c r="B536" s="220"/>
      <c r="C536" s="488" t="s">
        <v>482</v>
      </c>
      <c r="D536" s="488"/>
      <c r="E536" s="488"/>
      <c r="F536" s="488"/>
      <c r="G536" s="488"/>
      <c r="H536" s="488"/>
      <c r="I536" s="221"/>
      <c r="J536" s="221"/>
      <c r="K536" s="221"/>
      <c r="L536" s="221"/>
      <c r="M536" s="221"/>
      <c r="N536" s="221"/>
      <c r="O536" s="221"/>
      <c r="T536" s="16"/>
      <c r="U536" s="11"/>
      <c r="V536" s="11"/>
      <c r="W536" s="11"/>
      <c r="X536" s="11"/>
      <c r="Y536" s="11"/>
      <c r="Z536" s="11"/>
      <c r="AA536" s="11"/>
      <c r="AB536" s="11"/>
      <c r="AC536" s="11"/>
      <c r="AD536" s="11"/>
      <c r="AE536" s="12"/>
    </row>
    <row r="537" spans="2:31" ht="15" customHeight="1">
      <c r="B537" s="63"/>
      <c r="C537" s="24"/>
      <c r="D537" s="24"/>
      <c r="E537" s="24"/>
      <c r="F537" s="24"/>
      <c r="G537" s="24"/>
      <c r="H537" s="63"/>
      <c r="I537" s="1"/>
      <c r="J537" s="1"/>
      <c r="K537" s="1"/>
      <c r="L537" s="1"/>
      <c r="M537" s="1"/>
      <c r="N537" s="1"/>
      <c r="O537" s="1"/>
      <c r="T537" s="14"/>
      <c r="U537" s="1"/>
      <c r="V537" s="1"/>
      <c r="W537" s="1"/>
      <c r="X537" s="1"/>
      <c r="Y537" s="1"/>
      <c r="Z537" s="1"/>
      <c r="AA537" s="1"/>
      <c r="AB537" s="1"/>
      <c r="AC537" s="1"/>
      <c r="AD537" s="1"/>
      <c r="AE537" s="13"/>
    </row>
    <row r="538" spans="2:31" ht="15" customHeight="1">
      <c r="B538" s="103"/>
      <c r="C538" s="489" t="s">
        <v>483</v>
      </c>
      <c r="D538" s="489"/>
      <c r="E538" s="489"/>
      <c r="F538" s="489"/>
      <c r="G538" s="489"/>
      <c r="H538" s="489"/>
      <c r="I538" s="489"/>
      <c r="J538" s="489"/>
      <c r="K538" s="489"/>
      <c r="L538" s="489"/>
      <c r="M538" s="489"/>
      <c r="N538" s="489"/>
      <c r="O538" s="489"/>
      <c r="P538" s="1"/>
      <c r="T538" s="25"/>
      <c r="U538" s="490" t="s">
        <v>20</v>
      </c>
      <c r="V538" s="490"/>
      <c r="W538" s="490"/>
      <c r="X538" s="1"/>
      <c r="Y538" s="348" t="s">
        <v>6</v>
      </c>
      <c r="Z538" s="348"/>
      <c r="AA538" s="348"/>
      <c r="AB538" s="348" t="s">
        <v>23</v>
      </c>
      <c r="AC538" s="348"/>
      <c r="AD538" s="348"/>
      <c r="AE538" s="26" t="s">
        <v>24</v>
      </c>
    </row>
    <row r="539" spans="2:31" ht="15.75" customHeight="1">
      <c r="B539" s="103"/>
      <c r="C539" s="342"/>
      <c r="D539" s="60" t="s">
        <v>435</v>
      </c>
      <c r="E539" s="342"/>
      <c r="F539" s="342"/>
      <c r="G539" s="342"/>
      <c r="H539" s="342"/>
      <c r="I539" s="342"/>
      <c r="J539" s="342"/>
      <c r="K539" s="342"/>
      <c r="L539" s="342"/>
      <c r="M539" s="342"/>
      <c r="N539" s="342"/>
      <c r="O539" s="342"/>
      <c r="P539" s="1"/>
      <c r="T539" s="25"/>
      <c r="U539" s="348"/>
      <c r="V539" s="348"/>
      <c r="W539" s="348"/>
      <c r="X539" s="1"/>
      <c r="Y539" s="348"/>
      <c r="Z539" s="348"/>
      <c r="AA539" s="348"/>
      <c r="AB539" s="348"/>
      <c r="AC539" s="348"/>
      <c r="AD539" s="348"/>
      <c r="AE539" s="26"/>
    </row>
    <row r="540" spans="2:31" ht="16.5" thickBot="1">
      <c r="B540" s="103"/>
      <c r="C540" s="342"/>
      <c r="D540" s="60"/>
      <c r="E540" s="342"/>
      <c r="F540" s="342"/>
      <c r="G540" s="342"/>
      <c r="H540" s="342"/>
      <c r="I540" s="342"/>
      <c r="J540" s="342"/>
      <c r="K540" s="342"/>
      <c r="L540" s="342"/>
      <c r="M540" s="342"/>
      <c r="N540" s="342"/>
      <c r="O540" s="342"/>
      <c r="P540" s="1"/>
      <c r="T540" s="491" t="s">
        <v>484</v>
      </c>
      <c r="U540" s="490"/>
      <c r="V540" s="490"/>
      <c r="W540" s="490"/>
      <c r="X540" s="1"/>
      <c r="Y540" s="7">
        <f>'Mon Entreprise'!I134</f>
        <v>0</v>
      </c>
      <c r="Z540" s="133"/>
      <c r="AA540" s="21"/>
      <c r="AB540" s="7">
        <f>IF('Mon Entreprise'!I134-'Mon Entreprise'!M134&lt;0,0,'Mon Entreprise'!I134-'Mon Entreprise'!M134)</f>
        <v>0</v>
      </c>
      <c r="AC540" s="13"/>
      <c r="AD540" s="1"/>
      <c r="AE540" s="27">
        <f>IFERROR(1-'Mon Entreprise'!M134/'Mon Entreprise'!I134,0)</f>
        <v>0</v>
      </c>
    </row>
    <row r="541" spans="2:31" ht="15.75">
      <c r="B541" s="103"/>
      <c r="C541" s="342"/>
      <c r="D541" s="492" t="str">
        <f>IFERROR(IF(AND(AB583=0,AB584=0,AB585=0),"Vous ne pouvez pas bénéficier du fonds de solidarité pour le mois de Juillet 2021",IF(AND(AB585&gt;AB584,AB585&gt;AB583),"Votre entreprise peut bénéficier d'une aide de "&amp;AB585&amp;" €, au titre d'une fermeture Administrative avec une perte de 20 % de CA",IF(AB584&gt;AB583,"Votre entreprise peut bénéficier d'une aide de "&amp;AB584&amp;" €, au titre des entreprises ayant leur activité mentionnée en annexe 1, ou en annexe 2, avec une perte de CA "&amp;"d'au moins 80 % entre le 15/03/2020 et le 15/05/2020 ou au mois de Novembre 2020 ou une perte de 10 % entre 2019 et 2020, ou domicilié dans les îles d'outre-mer","Votre entreprise peut bénéficier d'une aide de "&amp;AB583&amp;" €, au titre d'une fermeture administrative d'au moins 10 jours et d'une perte d'au-moins 50 % de votre CA en Juillet 2021"))),"Vous n'avez pas indiqué de chiffre d'affaires de référence")</f>
        <v>Vous ne pouvez pas bénéficier du fonds de solidarité pour le mois de Juillet 2021</v>
      </c>
      <c r="E541" s="493"/>
      <c r="F541" s="493"/>
      <c r="G541" s="493"/>
      <c r="H541" s="493"/>
      <c r="I541" s="493"/>
      <c r="J541" s="493"/>
      <c r="K541" s="493"/>
      <c r="L541" s="493"/>
      <c r="M541" s="493"/>
      <c r="N541" s="493"/>
      <c r="O541" s="494"/>
      <c r="P541" s="1"/>
      <c r="T541" s="491" t="s">
        <v>25</v>
      </c>
      <c r="U541" s="490"/>
      <c r="V541" s="490"/>
      <c r="W541" s="490"/>
      <c r="X541" s="1"/>
      <c r="Y541" s="7">
        <f>'Mon Entreprise'!I98</f>
        <v>0</v>
      </c>
      <c r="Z541" s="133"/>
      <c r="AA541" s="21"/>
      <c r="AB541" s="7">
        <f>IF('Mon Entreprise'!I98-'Mon Entreprise'!M134&lt;0,0,'Mon Entreprise'!I98-'Mon Entreprise'!M134)</f>
        <v>0</v>
      </c>
      <c r="AC541" s="36"/>
      <c r="AD541" s="1"/>
      <c r="AE541" s="27">
        <f>IFERROR(1-'Mon Entreprise'!M134/'Mon Entreprise'!I98,0)</f>
        <v>0</v>
      </c>
    </row>
    <row r="542" spans="2:31" ht="15.75" customHeight="1">
      <c r="B542" s="103"/>
      <c r="C542" s="342"/>
      <c r="D542" s="495"/>
      <c r="E542" s="496"/>
      <c r="F542" s="496"/>
      <c r="G542" s="496"/>
      <c r="H542" s="496"/>
      <c r="I542" s="496"/>
      <c r="J542" s="496"/>
      <c r="K542" s="496"/>
      <c r="L542" s="496"/>
      <c r="M542" s="496"/>
      <c r="N542" s="496"/>
      <c r="O542" s="497"/>
      <c r="P542" s="1"/>
      <c r="T542" s="501" t="s">
        <v>22</v>
      </c>
      <c r="U542" s="502"/>
      <c r="V542" s="502"/>
      <c r="W542" s="502"/>
      <c r="X542" s="139"/>
      <c r="Y542" s="140" t="str">
        <f>IF('Mon Entreprise'!I148="","NC",'Mon Entreprise'!I148)</f>
        <v>NC</v>
      </c>
      <c r="Z542" s="191"/>
      <c r="AA542" s="192"/>
      <c r="AB542" s="143" t="str">
        <f>IFERROR(IF('Mon Entreprise'!I148-'Mon Entreprise'!M134&lt;0,0,'Mon Entreprise'!I148-'Mon Entreprise'!M134),"NC")</f>
        <v>NC</v>
      </c>
      <c r="AC542" s="193"/>
      <c r="AD542" s="139"/>
      <c r="AE542" s="146" t="str">
        <f>IFERROR(1-'Mon Entreprise'!M134/'Mon Entreprise'!I148,"NC")</f>
        <v>NC</v>
      </c>
    </row>
    <row r="543" spans="2:31" ht="15.75" customHeight="1">
      <c r="B543" s="103"/>
      <c r="C543" s="342"/>
      <c r="D543" s="495"/>
      <c r="E543" s="496"/>
      <c r="F543" s="496"/>
      <c r="G543" s="496"/>
      <c r="H543" s="496"/>
      <c r="I543" s="496"/>
      <c r="J543" s="496"/>
      <c r="K543" s="496"/>
      <c r="L543" s="496"/>
      <c r="M543" s="496"/>
      <c r="N543" s="496"/>
      <c r="O543" s="497"/>
      <c r="P543" s="1"/>
      <c r="T543" s="345"/>
      <c r="U543" s="344"/>
      <c r="V543" s="344"/>
      <c r="W543" s="344"/>
      <c r="X543" s="139"/>
      <c r="Y543" s="140"/>
      <c r="Z543" s="141"/>
      <c r="AA543" s="192"/>
      <c r="AB543" s="143"/>
      <c r="AC543" s="344"/>
      <c r="AD543" s="139"/>
      <c r="AE543" s="146"/>
    </row>
    <row r="544" spans="2:31" ht="15.75" customHeight="1">
      <c r="B544" s="103"/>
      <c r="C544" s="342"/>
      <c r="D544" s="495"/>
      <c r="E544" s="496"/>
      <c r="F544" s="496"/>
      <c r="G544" s="496"/>
      <c r="H544" s="496"/>
      <c r="I544" s="496"/>
      <c r="J544" s="496"/>
      <c r="K544" s="496"/>
      <c r="L544" s="496"/>
      <c r="M544" s="496"/>
      <c r="N544" s="496"/>
      <c r="O544" s="497"/>
      <c r="P544" s="1"/>
      <c r="T544" s="14"/>
      <c r="U544" s="1"/>
      <c r="V544" s="1"/>
      <c r="W544" s="1"/>
      <c r="X544" s="1"/>
      <c r="Y544" s="1"/>
      <c r="Z544" s="1"/>
      <c r="AA544" s="1"/>
      <c r="AB544" s="1"/>
      <c r="AC544" s="1"/>
      <c r="AD544" s="1"/>
      <c r="AE544" s="13"/>
    </row>
    <row r="545" spans="2:31" ht="15.75" customHeight="1">
      <c r="B545" s="103"/>
      <c r="C545" s="342"/>
      <c r="D545" s="495"/>
      <c r="E545" s="496"/>
      <c r="F545" s="496"/>
      <c r="G545" s="496"/>
      <c r="H545" s="496"/>
      <c r="I545" s="496"/>
      <c r="J545" s="496"/>
      <c r="K545" s="496"/>
      <c r="L545" s="496"/>
      <c r="M545" s="496"/>
      <c r="N545" s="496"/>
      <c r="O545" s="497"/>
      <c r="P545" s="1"/>
      <c r="T545" s="14"/>
      <c r="AC545" s="1"/>
      <c r="AD545" s="1"/>
      <c r="AE545" s="13"/>
    </row>
    <row r="546" spans="2:31" ht="15.75" customHeight="1" thickBot="1">
      <c r="B546" s="103"/>
      <c r="C546" s="342"/>
      <c r="D546" s="498"/>
      <c r="E546" s="499"/>
      <c r="F546" s="499"/>
      <c r="G546" s="499"/>
      <c r="H546" s="499"/>
      <c r="I546" s="499"/>
      <c r="J546" s="499"/>
      <c r="K546" s="499"/>
      <c r="L546" s="499"/>
      <c r="M546" s="499"/>
      <c r="N546" s="499"/>
      <c r="O546" s="500"/>
      <c r="P546" s="1"/>
      <c r="T546" s="14"/>
      <c r="AC546" s="1"/>
      <c r="AD546" s="1"/>
      <c r="AE546" s="13"/>
    </row>
    <row r="547" spans="2:31" ht="16.5" customHeight="1">
      <c r="B547" s="103"/>
      <c r="C547" s="342"/>
      <c r="D547" s="503" t="s">
        <v>493</v>
      </c>
      <c r="E547" s="503"/>
      <c r="F547" s="503"/>
      <c r="G547" s="503"/>
      <c r="H547" s="503"/>
      <c r="I547" s="503"/>
      <c r="J547" s="503"/>
      <c r="K547" s="503"/>
      <c r="L547" s="503"/>
      <c r="M547" s="503"/>
      <c r="N547" s="503"/>
      <c r="O547" s="503"/>
      <c r="P547" s="1"/>
      <c r="T547" s="14"/>
      <c r="AC547" s="1"/>
      <c r="AD547" s="1"/>
      <c r="AE547" s="13"/>
    </row>
    <row r="548" spans="2:31" ht="16.5" customHeight="1">
      <c r="B548" s="103"/>
      <c r="C548" s="351"/>
      <c r="D548" s="504"/>
      <c r="E548" s="504"/>
      <c r="F548" s="504"/>
      <c r="G548" s="504"/>
      <c r="H548" s="504"/>
      <c r="I548" s="504"/>
      <c r="J548" s="504"/>
      <c r="K548" s="504"/>
      <c r="L548" s="504"/>
      <c r="M548" s="504"/>
      <c r="N548" s="504"/>
      <c r="O548" s="504"/>
      <c r="P548" s="1"/>
      <c r="T548" s="14"/>
      <c r="AC548" s="1"/>
      <c r="AD548" s="1"/>
      <c r="AE548" s="13"/>
    </row>
    <row r="549" spans="2:31" ht="15.75" hidden="1">
      <c r="B549" s="103"/>
      <c r="C549" s="78"/>
      <c r="D549" s="78"/>
      <c r="E549" s="78"/>
      <c r="F549" s="78"/>
      <c r="G549" s="78"/>
      <c r="H549" s="78"/>
      <c r="I549" s="78"/>
      <c r="J549" s="78"/>
      <c r="K549" s="78"/>
      <c r="L549" s="78"/>
      <c r="M549" s="78"/>
      <c r="N549" s="78"/>
      <c r="O549" s="78"/>
      <c r="P549" s="1"/>
      <c r="T549" s="14"/>
      <c r="U549" s="1"/>
      <c r="V549" s="1"/>
      <c r="W549" s="1"/>
      <c r="X549" s="1"/>
      <c r="Y549" s="1"/>
      <c r="Z549" s="1"/>
      <c r="AA549" s="1"/>
      <c r="AB549" s="1"/>
      <c r="AC549" s="1"/>
      <c r="AD549" s="1"/>
      <c r="AE549" s="13"/>
    </row>
    <row r="550" spans="2:31" ht="15.75" hidden="1">
      <c r="B550" s="103"/>
      <c r="C550" s="342"/>
      <c r="D550" s="60"/>
      <c r="E550" s="342"/>
      <c r="F550" s="342"/>
      <c r="G550" s="342"/>
      <c r="H550" s="342"/>
      <c r="I550" s="342"/>
      <c r="J550" s="342"/>
      <c r="K550" s="342"/>
      <c r="L550" s="342"/>
      <c r="M550" s="342"/>
      <c r="N550" s="342"/>
      <c r="O550" s="342"/>
      <c r="P550" s="1"/>
      <c r="T550" s="14"/>
      <c r="U550" s="1"/>
      <c r="V550" s="1"/>
      <c r="W550" s="1"/>
      <c r="X550" s="1"/>
      <c r="Y550" s="1"/>
      <c r="Z550" s="1"/>
      <c r="AA550" s="1"/>
      <c r="AB550" s="1"/>
      <c r="AC550" s="1"/>
      <c r="AD550" s="1"/>
      <c r="AE550" s="13"/>
    </row>
    <row r="551" spans="2:31" ht="15.75" hidden="1">
      <c r="B551" s="103"/>
      <c r="C551" s="505" t="s">
        <v>492</v>
      </c>
      <c r="D551" s="505"/>
      <c r="E551" s="505"/>
      <c r="F551" s="505"/>
      <c r="G551" s="505"/>
      <c r="H551" s="505"/>
      <c r="I551" s="505"/>
      <c r="J551" s="505"/>
      <c r="K551" s="505"/>
      <c r="L551" s="505"/>
      <c r="M551" s="505"/>
      <c r="N551" s="505"/>
      <c r="O551" s="505"/>
      <c r="P551" s="1"/>
      <c r="T551" s="14"/>
      <c r="U551" s="1"/>
      <c r="V551" s="1"/>
      <c r="W551" s="1"/>
      <c r="X551" s="1"/>
      <c r="Y551" s="1"/>
      <c r="Z551" s="1"/>
      <c r="AA551" s="1"/>
      <c r="AB551" s="1"/>
      <c r="AC551" s="1"/>
      <c r="AD551" s="1"/>
      <c r="AE551" s="13"/>
    </row>
    <row r="552" spans="2:31" ht="15.75" hidden="1">
      <c r="B552" s="103"/>
      <c r="C552" s="505"/>
      <c r="D552" s="505"/>
      <c r="E552" s="505"/>
      <c r="F552" s="505"/>
      <c r="G552" s="505"/>
      <c r="H552" s="505"/>
      <c r="I552" s="505"/>
      <c r="J552" s="505"/>
      <c r="K552" s="505"/>
      <c r="L552" s="505"/>
      <c r="M552" s="505"/>
      <c r="N552" s="505"/>
      <c r="O552" s="505"/>
      <c r="P552" s="1"/>
      <c r="T552" s="14"/>
      <c r="U552" s="506" t="s">
        <v>72</v>
      </c>
      <c r="V552" s="506"/>
      <c r="W552" s="506"/>
      <c r="X552" s="506"/>
      <c r="Y552" s="506"/>
      <c r="Z552" s="1"/>
      <c r="AA552" s="14"/>
      <c r="AB552" s="344" t="str">
        <f>IF('Mon Entreprise'!K8&lt;=Annexes!R15,"Oui","Non")</f>
        <v>Oui</v>
      </c>
      <c r="AC552" s="1"/>
      <c r="AD552" s="1"/>
      <c r="AE552" s="13"/>
    </row>
    <row r="553" spans="2:31" ht="15.75" hidden="1">
      <c r="B553" s="168"/>
      <c r="C553" s="342"/>
      <c r="D553" s="60" t="str">
        <f>IFERROR(IF('Mon Entreprise'!K8&gt;=Annexes!O20,IF(AB540&gt;=AB542,"Le CA de référence est celui de Juillet 2019, soit une perte de "&amp;ROUND(AB540,0)&amp;" €"&amp;" ==&gt; "&amp;ROUND(AE540*100,0)&amp;" %","Le CA de référence est celui de la création, soit une perte de "&amp;ROUND(AB542,0)&amp;" €"&amp;" ==&gt; "&amp;ROUND(AE542*100,0)&amp;" %"),IF(AB540&gt;=AB541,"Le CA de référence est celui de Juillet 2019, soit une perte de "&amp;ROUND(AB540,0)&amp;" €"&amp;" ==&gt; "&amp;ROUND(AE540*100,0)&amp;" %","Le CA de référence est celui de l'exercice 2019, soit une perte de "&amp;ROUND(AB541,0)&amp;" €"&amp;" ==&gt; "&amp;ROUND(AE541*100,0)&amp;" %")),"")</f>
        <v>Le CA de référence est celui de Juillet 2019, soit une perte de 0 € ==&gt; 0 %</v>
      </c>
      <c r="E553" s="342"/>
      <c r="F553" s="342"/>
      <c r="G553" s="342"/>
      <c r="H553" s="342"/>
      <c r="I553" s="342"/>
      <c r="J553" s="342"/>
      <c r="K553" s="342"/>
      <c r="L553" s="342"/>
      <c r="M553" s="342"/>
      <c r="N553" s="342"/>
      <c r="O553" s="342"/>
      <c r="P553" s="1"/>
      <c r="T553" s="14"/>
      <c r="U553" s="341"/>
      <c r="V553" s="506" t="s">
        <v>393</v>
      </c>
      <c r="W553" s="506"/>
      <c r="X553" s="506"/>
      <c r="Y553" s="506"/>
      <c r="Z553" s="1"/>
      <c r="AA553" s="14"/>
      <c r="AB553" s="344">
        <f>IF('Mon Entreprise'!K8&gt;=Annexes!O20,IF(Y540&gt;=Y542,Y540,Y542),IF(Y540&gt;=Y541,Y540,Y541))</f>
        <v>0</v>
      </c>
      <c r="AC553" s="1"/>
      <c r="AD553" s="1"/>
      <c r="AE553" s="13"/>
    </row>
    <row r="554" spans="2:31" ht="15.75" hidden="1" customHeight="1">
      <c r="B554" s="168"/>
      <c r="C554" s="342"/>
      <c r="D554" s="507" t="str">
        <f>IFERROR(IF('Mon Entreprise'!K8&gt;=Annexes!O20,"",IF(AB540&lt;AB541,"A noter qu'il convient de choisir l'option retenue par l'entreprise lors de sa demande au titre du mois Février 2021, ou a défaut celui du mois de Mars, d'Avril, Mai, ou Juin 2021, si le CA de référence était celui de février 2019 (...),"&amp;" il convient de prendre"&amp;" celui de Juillet 2019, soit "&amp;ROUND(AB540,0)&amp;" €"&amp;" ==&gt; "&amp;ROUND(AE540*100,0)&amp;" %","A noter qu'il convient de choisir l'option retenue par l'entreprise lors de sa demande au titre du mois Février 2021, ou "&amp;"a défaut celui du mois de Mars, d'Avril, Mai, ou Juin 2021, si"&amp;" le CA de référence était celui de l'exercice 2019, il convient de prendre celui de l'exercie 2019, soit une perte de "&amp;ROUND(AB541,0)&amp;" €"&amp;" ==&gt; "&amp;ROUND(AE541*100,0)&amp;" %")),"")</f>
        <v>A noter qu'il convient de choisir l'option retenue par l'entreprise lors de sa demande au titre du mois Février 2021, ou a défaut celui du mois de Mars, d'Avril, Mai, ou Juin 2021, si le CA de référence était celui de l'exercice 2019, il convient de prendre celui de l'exercie 2019, soit une perte de 0 € ==&gt; 0 %</v>
      </c>
      <c r="E554" s="507"/>
      <c r="F554" s="507"/>
      <c r="G554" s="507"/>
      <c r="H554" s="507"/>
      <c r="I554" s="507"/>
      <c r="J554" s="507"/>
      <c r="K554" s="507"/>
      <c r="L554" s="507"/>
      <c r="M554" s="507"/>
      <c r="N554" s="507"/>
      <c r="O554" s="507"/>
      <c r="P554" s="1"/>
      <c r="T554" s="14"/>
      <c r="U554" s="506" t="s">
        <v>84</v>
      </c>
      <c r="V554" s="506"/>
      <c r="W554" s="506"/>
      <c r="X554" s="506"/>
      <c r="Y554" s="506"/>
      <c r="Z554" s="1"/>
      <c r="AA554" s="14"/>
      <c r="AB554" s="343">
        <f>IF('Mon Entreprise'!K8&gt;=Annexes!O20,IF(AB540&gt;=AB542,AB540,AB542),IF(AB540&gt;=AB541,AB540,AB541))</f>
        <v>0</v>
      </c>
      <c r="AC554" s="1"/>
      <c r="AD554" s="1"/>
      <c r="AE554" s="13"/>
    </row>
    <row r="555" spans="2:31" ht="15.75" hidden="1">
      <c r="B555" s="168"/>
      <c r="C555" s="342"/>
      <c r="D555" s="507"/>
      <c r="E555" s="507"/>
      <c r="F555" s="507"/>
      <c r="G555" s="507"/>
      <c r="H555" s="507"/>
      <c r="I555" s="507"/>
      <c r="J555" s="507"/>
      <c r="K555" s="507"/>
      <c r="L555" s="507"/>
      <c r="M555" s="507"/>
      <c r="N555" s="507"/>
      <c r="O555" s="507"/>
      <c r="P555" s="1"/>
      <c r="T555" s="14"/>
      <c r="U555" s="506" t="s">
        <v>85</v>
      </c>
      <c r="V555" s="506"/>
      <c r="W555" s="506"/>
      <c r="X555" s="506"/>
      <c r="Y555" s="506"/>
      <c r="Z555" s="1"/>
      <c r="AA555" s="14"/>
      <c r="AB555" s="19">
        <f>IF('Mon Entreprise'!K8&gt;=Annexes!O20,IF(AB540&gt;=AB542,AE540,AE542),IF(AB540&gt;=AB541,AE540,AE541))</f>
        <v>0</v>
      </c>
      <c r="AC555" s="1"/>
      <c r="AD555" s="1"/>
      <c r="AE555" s="13"/>
    </row>
    <row r="556" spans="2:31" ht="15.75" hidden="1">
      <c r="B556" s="168"/>
      <c r="C556" s="351"/>
      <c r="D556" s="507"/>
      <c r="E556" s="507"/>
      <c r="F556" s="507"/>
      <c r="G556" s="507"/>
      <c r="H556" s="507"/>
      <c r="I556" s="507"/>
      <c r="J556" s="507"/>
      <c r="K556" s="507"/>
      <c r="L556" s="507"/>
      <c r="M556" s="507"/>
      <c r="N556" s="507"/>
      <c r="O556" s="507"/>
      <c r="P556" s="1"/>
      <c r="T556" s="14"/>
      <c r="U556" s="350"/>
      <c r="V556" s="350"/>
      <c r="W556" s="350"/>
      <c r="X556" s="350"/>
      <c r="Y556" s="350"/>
      <c r="Z556" s="1"/>
      <c r="AA556" s="1"/>
      <c r="AB556" s="19"/>
      <c r="AC556" s="1"/>
      <c r="AD556" s="1"/>
      <c r="AE556" s="13"/>
    </row>
    <row r="557" spans="2:31" ht="16.5" hidden="1" thickBot="1">
      <c r="B557" s="103"/>
      <c r="C557" s="342"/>
      <c r="D557" s="60" t="s">
        <v>7</v>
      </c>
      <c r="E557" s="342"/>
      <c r="F557" s="342"/>
      <c r="G557" s="342"/>
      <c r="H557" s="342"/>
      <c r="I557" s="342"/>
      <c r="J557" s="342"/>
      <c r="K557" s="342"/>
      <c r="L557" s="342"/>
      <c r="M557" s="342"/>
      <c r="N557" s="342"/>
      <c r="O557" s="342"/>
      <c r="P557" s="1"/>
      <c r="T557" s="14"/>
      <c r="U557" s="1"/>
      <c r="V557" s="1"/>
      <c r="W557" s="1"/>
      <c r="X557" s="1"/>
      <c r="Y557" s="1"/>
      <c r="Z557" s="1"/>
      <c r="AA557" s="1"/>
      <c r="AB557" s="1"/>
      <c r="AC557" s="1"/>
      <c r="AD557" s="1"/>
      <c r="AE557" s="13"/>
    </row>
    <row r="558" spans="2:31" ht="15.75" hidden="1">
      <c r="B558" s="168"/>
      <c r="C558" s="342"/>
      <c r="D558" s="508" t="str">
        <f>IFERROR(IF(AB552="Non","Vous avez débuté votre activité après le 31 Janvier 2020, vous ne pouvez donc pas bénéficier de cette aide",IF(AND(AB571=TRUE,AB555&gt;=0.5),IF(AB554&gt;Annexes!O5,"Dans votre cas, l'aide est Plafonnée, à "&amp;Annexes!O5&amp;" € pour le mois de Juillet","Vous pouvez bénéficier, au titre de cette aide, d'un montant de "&amp;ROUND(AB554,0)&amp;" € pour le mois de Juillet"),"L'entreprise n'a pas une perte d'au moins 50 % en Juillet 2021 ou n'a pas été en fermeture Administrative au moins 10 Jours")),"Vous n'avez pas indiqué de chiffre d'affaires de référence")</f>
        <v>L'entreprise n'a pas une perte d'au moins 50 % en Juillet 2021 ou n'a pas été en fermeture Administrative au moins 10 Jours</v>
      </c>
      <c r="E558" s="509"/>
      <c r="F558" s="509"/>
      <c r="G558" s="509"/>
      <c r="H558" s="509"/>
      <c r="I558" s="509"/>
      <c r="J558" s="509"/>
      <c r="K558" s="509"/>
      <c r="L558" s="509"/>
      <c r="M558" s="509"/>
      <c r="N558" s="509"/>
      <c r="O558" s="510"/>
      <c r="P558" s="1"/>
      <c r="T558" s="14"/>
      <c r="U558" s="1"/>
      <c r="V558" s="1"/>
      <c r="W558" s="1"/>
      <c r="X558" s="1"/>
      <c r="Y558" s="1"/>
      <c r="Z558" s="1"/>
      <c r="AA558" s="1"/>
      <c r="AB558" s="1"/>
      <c r="AC558" s="1"/>
      <c r="AD558" s="1"/>
      <c r="AE558" s="13"/>
    </row>
    <row r="559" spans="2:31" ht="15.75" hidden="1" customHeight="1">
      <c r="B559" s="168"/>
      <c r="C559" s="342"/>
      <c r="D559" s="511"/>
      <c r="E559" s="512"/>
      <c r="F559" s="512"/>
      <c r="G559" s="512"/>
      <c r="H559" s="512"/>
      <c r="I559" s="512"/>
      <c r="J559" s="512"/>
      <c r="K559" s="512"/>
      <c r="L559" s="512"/>
      <c r="M559" s="512"/>
      <c r="N559" s="512"/>
      <c r="O559" s="513"/>
      <c r="P559" s="1"/>
      <c r="T559" s="14"/>
      <c r="U559" s="1"/>
      <c r="V559" s="1"/>
      <c r="W559" s="1"/>
      <c r="X559" s="1"/>
      <c r="Y559" s="1"/>
      <c r="Z559" s="1"/>
      <c r="AA559" s="1"/>
      <c r="AB559" s="1"/>
      <c r="AC559" s="1"/>
      <c r="AD559" s="1"/>
      <c r="AE559" s="13"/>
    </row>
    <row r="560" spans="2:31" ht="15.75" hidden="1" customHeight="1">
      <c r="B560" s="103"/>
      <c r="C560" s="342"/>
      <c r="D560" s="511"/>
      <c r="E560" s="512"/>
      <c r="F560" s="512"/>
      <c r="G560" s="512"/>
      <c r="H560" s="512"/>
      <c r="I560" s="512"/>
      <c r="J560" s="512"/>
      <c r="K560" s="512"/>
      <c r="L560" s="512"/>
      <c r="M560" s="512"/>
      <c r="N560" s="512"/>
      <c r="O560" s="513"/>
      <c r="P560" s="1"/>
      <c r="T560" s="14"/>
      <c r="U560" s="1"/>
      <c r="V560" s="1"/>
      <c r="W560" s="1"/>
      <c r="X560" s="1"/>
      <c r="Y560" s="1"/>
      <c r="Z560" s="1"/>
      <c r="AA560" s="1"/>
      <c r="AB560" s="1"/>
      <c r="AC560" s="1"/>
      <c r="AD560" s="1"/>
      <c r="AE560" s="13"/>
    </row>
    <row r="561" spans="1:31" ht="15.75" hidden="1" customHeight="1" thickBot="1">
      <c r="B561" s="103"/>
      <c r="C561" s="342"/>
      <c r="D561" s="514"/>
      <c r="E561" s="515"/>
      <c r="F561" s="515"/>
      <c r="G561" s="515"/>
      <c r="H561" s="515"/>
      <c r="I561" s="515"/>
      <c r="J561" s="515"/>
      <c r="K561" s="515"/>
      <c r="L561" s="515"/>
      <c r="M561" s="515"/>
      <c r="N561" s="515"/>
      <c r="O561" s="516"/>
      <c r="P561" s="1"/>
      <c r="T561" s="14"/>
      <c r="U561" s="1"/>
      <c r="V561" s="1"/>
      <c r="W561" s="1"/>
      <c r="X561" s="1"/>
      <c r="Y561" s="1"/>
      <c r="Z561" s="1"/>
      <c r="AA561" s="1"/>
      <c r="AB561" s="1"/>
      <c r="AC561" s="1"/>
      <c r="AD561" s="1"/>
      <c r="AE561" s="13"/>
    </row>
    <row r="562" spans="1:31" ht="16.5" hidden="1" customHeight="1">
      <c r="B562" s="103"/>
      <c r="C562" s="169"/>
      <c r="D562" s="517"/>
      <c r="E562" s="517"/>
      <c r="F562" s="517"/>
      <c r="G562" s="517"/>
      <c r="H562" s="517"/>
      <c r="I562" s="517"/>
      <c r="J562" s="517"/>
      <c r="K562" s="517"/>
      <c r="L562" s="517"/>
      <c r="M562" s="517"/>
      <c r="N562" s="517"/>
      <c r="O562" s="517"/>
      <c r="P562" s="1"/>
      <c r="T562" s="518" t="s">
        <v>4</v>
      </c>
      <c r="U562" s="519"/>
      <c r="V562" s="519"/>
      <c r="W562" s="519"/>
      <c r="X562" s="519"/>
      <c r="Y562" s="519"/>
      <c r="Z562" s="139"/>
      <c r="AA562" s="145"/>
      <c r="AB562" s="194">
        <f>IFERROR(IF('Mon Entreprise'!K8&gt;=Annexes!Q18,0,1-'Mon Entreprise'!M118/2/AB553),0)</f>
        <v>0</v>
      </c>
      <c r="AC562" s="1"/>
      <c r="AD562" s="1"/>
      <c r="AE562" s="13"/>
    </row>
    <row r="563" spans="1:31" ht="16.5" hidden="1" customHeight="1">
      <c r="B563" s="103"/>
      <c r="C563" s="342"/>
      <c r="D563" s="306"/>
      <c r="E563" s="306"/>
      <c r="F563" s="306"/>
      <c r="G563" s="306"/>
      <c r="H563" s="306"/>
      <c r="I563" s="306"/>
      <c r="J563" s="306"/>
      <c r="K563" s="306"/>
      <c r="L563" s="306"/>
      <c r="M563" s="306"/>
      <c r="N563" s="306"/>
      <c r="O563" s="306"/>
      <c r="P563" s="1"/>
      <c r="T563" s="110"/>
      <c r="U563" s="520" t="s">
        <v>102</v>
      </c>
      <c r="V563" s="520"/>
      <c r="W563" s="520"/>
      <c r="X563" s="520"/>
      <c r="Y563" s="520"/>
      <c r="Z563" s="139"/>
      <c r="AA563" s="145"/>
      <c r="AB563" s="194">
        <f>IFERROR(IF('Mon Entreprise'!K8&gt;Annexes!Q29,0,IF('Mon Entreprise'!K8&gt;Annexes!Q26,1,1-'Mon Entreprise'!M114/AB553)),0)</f>
        <v>0</v>
      </c>
      <c r="AC563" s="1"/>
      <c r="AD563" s="1"/>
      <c r="AE563" s="13"/>
    </row>
    <row r="564" spans="1:31" ht="16.5" hidden="1" customHeight="1">
      <c r="B564" s="103"/>
      <c r="C564" s="505" t="s">
        <v>514</v>
      </c>
      <c r="D564" s="505"/>
      <c r="E564" s="505"/>
      <c r="F564" s="505"/>
      <c r="G564" s="505"/>
      <c r="H564" s="505"/>
      <c r="I564" s="505"/>
      <c r="J564" s="505"/>
      <c r="K564" s="505"/>
      <c r="L564" s="505"/>
      <c r="M564" s="505"/>
      <c r="N564" s="505"/>
      <c r="O564" s="505"/>
      <c r="P564" s="1"/>
      <c r="T564" s="110"/>
      <c r="U564" s="520" t="s">
        <v>109</v>
      </c>
      <c r="V564" s="520"/>
      <c r="W564" s="520"/>
      <c r="X564" s="520"/>
      <c r="Y564" s="520"/>
      <c r="Z564" s="139"/>
      <c r="AA564" s="145"/>
      <c r="AB564" s="194">
        <f>IFERROR(IF(Annexes!O27&gt;'Mon Entreprise'!K8,1-'Mon Entreprise'!M98/'Mon Entreprise'!I98,0),0)</f>
        <v>0</v>
      </c>
      <c r="AC564" s="1"/>
      <c r="AD564" s="1"/>
      <c r="AE564" s="13"/>
    </row>
    <row r="565" spans="1:31" ht="16.5" hidden="1" customHeight="1">
      <c r="B565" s="103"/>
      <c r="C565" s="505"/>
      <c r="D565" s="505"/>
      <c r="E565" s="505"/>
      <c r="F565" s="505"/>
      <c r="G565" s="505"/>
      <c r="H565" s="505"/>
      <c r="I565" s="505"/>
      <c r="J565" s="505"/>
      <c r="K565" s="505"/>
      <c r="L565" s="505"/>
      <c r="M565" s="505"/>
      <c r="N565" s="505"/>
      <c r="O565" s="505"/>
      <c r="P565" s="1"/>
      <c r="T565" s="110"/>
      <c r="U565" s="346"/>
      <c r="V565" s="346"/>
      <c r="W565" s="346"/>
      <c r="X565" s="346"/>
      <c r="Y565" s="346"/>
      <c r="Z565" s="139"/>
      <c r="AA565" s="145"/>
      <c r="AB565" s="194"/>
      <c r="AC565" s="1"/>
      <c r="AD565" s="1"/>
      <c r="AE565" s="13"/>
    </row>
    <row r="566" spans="1:31" ht="16.5" hidden="1" customHeight="1">
      <c r="B566" s="103"/>
      <c r="C566" s="505"/>
      <c r="D566" s="505"/>
      <c r="E566" s="505"/>
      <c r="F566" s="505"/>
      <c r="G566" s="505"/>
      <c r="H566" s="505"/>
      <c r="I566" s="505"/>
      <c r="J566" s="505"/>
      <c r="K566" s="505"/>
      <c r="L566" s="505"/>
      <c r="M566" s="505"/>
      <c r="N566" s="505"/>
      <c r="O566" s="505"/>
      <c r="P566" s="1"/>
      <c r="T566" s="110"/>
      <c r="U566" s="368"/>
      <c r="V566" s="368"/>
      <c r="W566" s="368"/>
      <c r="X566" s="368"/>
      <c r="Y566" s="368"/>
      <c r="Z566" s="139"/>
      <c r="AA566" s="145"/>
      <c r="AB566" s="194"/>
      <c r="AC566" s="1"/>
      <c r="AD566" s="1"/>
      <c r="AE566" s="13"/>
    </row>
    <row r="567" spans="1:31" ht="16.5" hidden="1" customHeight="1">
      <c r="B567" s="103"/>
      <c r="C567" s="505"/>
      <c r="D567" s="505"/>
      <c r="E567" s="505"/>
      <c r="F567" s="505"/>
      <c r="G567" s="505"/>
      <c r="H567" s="505"/>
      <c r="I567" s="505"/>
      <c r="J567" s="505"/>
      <c r="K567" s="505"/>
      <c r="L567" s="505"/>
      <c r="M567" s="505"/>
      <c r="N567" s="505"/>
      <c r="O567" s="505"/>
      <c r="P567" s="1"/>
      <c r="T567" s="14"/>
      <c r="U567" s="521" t="s">
        <v>8</v>
      </c>
      <c r="V567" s="521"/>
      <c r="W567" s="521"/>
      <c r="X567" s="521"/>
      <c r="Y567" s="521"/>
      <c r="Z567" s="1"/>
      <c r="AA567" s="14"/>
      <c r="AB567" s="343" t="str">
        <f>IF((AND(Annexes!F5&gt;1,Annexes!F5&lt;=Annexes!H6,AB574&gt;=0.1)),"OUI","NON")</f>
        <v>NON</v>
      </c>
      <c r="AC567" s="1"/>
      <c r="AD567" s="1"/>
      <c r="AE567" s="13"/>
    </row>
    <row r="568" spans="1:31" ht="27" hidden="1" customHeight="1">
      <c r="B568" s="103"/>
      <c r="C568" s="352"/>
      <c r="D568" s="564" t="s">
        <v>513</v>
      </c>
      <c r="E568" s="564"/>
      <c r="F568" s="564"/>
      <c r="G568" s="564"/>
      <c r="H568" s="564"/>
      <c r="I568" s="564"/>
      <c r="J568" s="564"/>
      <c r="K568" s="564"/>
      <c r="L568" s="564"/>
      <c r="M568" s="564"/>
      <c r="N568" s="564"/>
      <c r="O568" s="564"/>
      <c r="P568" s="1"/>
      <c r="T568" s="14"/>
      <c r="U568" s="347"/>
      <c r="V568" s="347"/>
      <c r="W568" s="347"/>
      <c r="X568" s="347"/>
      <c r="Y568" s="347" t="s">
        <v>9</v>
      </c>
      <c r="Z568" s="1"/>
      <c r="AA568" s="14"/>
      <c r="AB568" s="343" t="str">
        <f>IF(AND(Annexes!F7&gt;1,Annexes!F7&lt;=Annexes!H8,AB574&gt;=0.1),"OUI","NON")</f>
        <v>NON</v>
      </c>
      <c r="AC568" s="1"/>
      <c r="AD568" s="1"/>
      <c r="AE568" s="13"/>
    </row>
    <row r="569" spans="1:31" ht="16.5" hidden="1" customHeight="1">
      <c r="B569" s="103"/>
      <c r="C569" s="342"/>
      <c r="D569" s="306"/>
      <c r="E569" s="522" t="str">
        <f>IF(AB572="NON","",IF(OR(AB567="OUI",AB569="OUI",AND(AB568="OUI",OR(AB562&gt;=Annexes!P5,AB563&gt;=Annexes!P5,'Mes Aides'!AB145&gt;=0.1))),"",IF(AND(AB568="OUI",OR(AB562&lt;Annexes!P5,AB563&lt;Annexes!P5,'Mes Aides'!AB198&lt;0.1)),"L'entreprise fait partie des entreprises mentionnées en annexe 2 du décret mais n'a pas eu une perte de CA d'au-Moins 80 %, entre le 15/03/2020 et le 15/05/2020 ou Novembre 2020 ou 10 % entre 2019 et 2020","L'entreprise ne fait pas partie des activités mentionnées aux annexes 1, 2 ou domicilé dans une des îles d'outre-mer.")))</f>
        <v>L'entreprise ne fait pas partie des activités mentionnées aux annexes 1, 2 ou domicilé dans une des îles d'outre-mer.</v>
      </c>
      <c r="F569" s="522"/>
      <c r="G569" s="522"/>
      <c r="H569" s="522"/>
      <c r="I569" s="522"/>
      <c r="J569" s="522"/>
      <c r="K569" s="522"/>
      <c r="L569" s="522"/>
      <c r="M569" s="522"/>
      <c r="N569" s="522"/>
      <c r="O569" s="522"/>
      <c r="P569" s="1"/>
      <c r="T569" s="491" t="s">
        <v>474</v>
      </c>
      <c r="U569" s="490"/>
      <c r="V569" s="490"/>
      <c r="W569" s="490"/>
      <c r="X569" s="490"/>
      <c r="Y569" s="490"/>
      <c r="Z569" s="1"/>
      <c r="AA569" s="14"/>
      <c r="AB569" s="343" t="str">
        <f>IF(AND(Annexes!M24=TRUE,AB574&gt;=0.1),"OUI","NON")</f>
        <v>NON</v>
      </c>
      <c r="AC569" s="1"/>
      <c r="AD569" s="1"/>
      <c r="AE569" s="13"/>
    </row>
    <row r="570" spans="1:31" ht="16.5" hidden="1" customHeight="1">
      <c r="B570" s="103"/>
      <c r="C570" s="342"/>
      <c r="D570" s="306"/>
      <c r="E570" s="522"/>
      <c r="F570" s="522"/>
      <c r="G570" s="522"/>
      <c r="H570" s="522"/>
      <c r="I570" s="522"/>
      <c r="J570" s="522"/>
      <c r="K570" s="522"/>
      <c r="L570" s="522"/>
      <c r="M570" s="522"/>
      <c r="N570" s="522"/>
      <c r="O570" s="522"/>
      <c r="P570" s="1"/>
      <c r="T570" s="14"/>
      <c r="U570" s="490" t="s">
        <v>313</v>
      </c>
      <c r="V570" s="490"/>
      <c r="W570" s="490"/>
      <c r="X570" s="490"/>
      <c r="Y570" s="490"/>
      <c r="Z570" s="1"/>
      <c r="AA570" s="14"/>
      <c r="AB570" s="343" t="b">
        <f>IF(AND(Annexes!M38=TRUE,AB574&gt;=0.2),TRUE,FALSE)</f>
        <v>0</v>
      </c>
      <c r="AC570" s="1"/>
      <c r="AD570" s="1"/>
      <c r="AE570" s="13"/>
    </row>
    <row r="571" spans="1:31" ht="16.5" hidden="1" customHeight="1">
      <c r="A571" s="99"/>
      <c r="B571" s="103"/>
      <c r="C571" s="342"/>
      <c r="D571" s="523" t="str">
        <f>IFERROR(IF('Mon Entreprise'!K8&gt;=Annexes!O20,IF(AB540&gt;=AB542,"- Le CA de référence est celui de Juillet 2019, soit une perte de "&amp;ROUND(AB540,0)&amp;" €"&amp;" ==&gt; "&amp;ROUND(AE540*100,0)&amp;" %","- Le CA de référence est celui de la création, soit une perte de "&amp;ROUND(AB542,0)&amp;" €"&amp;" ==&gt; "&amp;ROUND(AE542*100,0)&amp;" %"),IF(AB540&gt;=AB541,"- Le CA de référence est celui de Juillet 2019, soit une perte de "&amp;ROUND(AB540,0)&amp;" €"&amp;" ==&gt; "&amp;ROUND(AE540*100,0)&amp;" %","- Le CA de référence est celui de l'exercice 2019, soit une perte de "&amp;ROUND(AB541,0)&amp;" €"&amp;" ==&gt; "&amp;ROUND(AE541*100,0)&amp;" %")),"")</f>
        <v>- Le CA de référence est celui de Juillet 2019, soit une perte de 0 € ==&gt; 0 %</v>
      </c>
      <c r="E571" s="523"/>
      <c r="F571" s="523"/>
      <c r="G571" s="523"/>
      <c r="H571" s="523"/>
      <c r="I571" s="523"/>
      <c r="J571" s="523"/>
      <c r="K571" s="523"/>
      <c r="L571" s="523"/>
      <c r="M571" s="523"/>
      <c r="N571" s="523"/>
      <c r="O571" s="523"/>
      <c r="P571" s="1"/>
      <c r="T571" s="14"/>
      <c r="U571" s="343"/>
      <c r="V571" s="343"/>
      <c r="W571" s="343"/>
      <c r="X571" s="343"/>
      <c r="Y571" s="349" t="s">
        <v>491</v>
      </c>
      <c r="Z571" s="1"/>
      <c r="AA571" s="14"/>
      <c r="AB571" s="343" t="b">
        <f>IF(AND(Annexes!M39=TRUE,AB574&gt;=0.5),TRUE,FALSE)</f>
        <v>0</v>
      </c>
      <c r="AC571" s="1"/>
      <c r="AD571" s="1"/>
      <c r="AE571" s="13"/>
    </row>
    <row r="572" spans="1:31" ht="16.5" hidden="1" customHeight="1">
      <c r="A572" s="99"/>
      <c r="B572" s="103"/>
      <c r="C572" s="342"/>
      <c r="D572" s="524" t="str">
        <f>IFERROR(IF('Mon Entreprise'!K8&gt;=Annexes!O20,"",IF(AB540&lt;AB541,"A noter qu'il convient de choisir l'option retenue par l'entreprise lors de sa demande au titre du mois Février ou a défaut celui du mois de Mars, Avril, Mai, ou Juin 2021, si le CA de référence était celui de février (...) 2019,"&amp;" il convient de prendre celui de Juillet 2019, soit "&amp;ROUND(AB540,0)&amp;" €"&amp;" ==&gt; "&amp;ROUND(AE540*100,0)&amp;" %","A noter qu'il convient de choisir l'option retenue par l'entreprise lors de sa demande"&amp;" au titre du mois Février  ou a défaut celui du mois de Mars, Avril, Mai, ou Juin 2021, si le CA de référence était celui de l'exercice 2019, il convient de prendre celui de l'exercie 2019, soit une perte de "&amp;ROUND(AB541,0)&amp;" €"&amp;" ==&gt; "&amp;ROUND(AE541*100,0)&amp;" %")),"")</f>
        <v>A noter qu'il convient de choisir l'option retenue par l'entreprise lors de sa demande au titre du mois Février  ou a défaut celui du mois de Mars, Avril, Mai, ou Juin 2021, si le CA de référence était celui de l'exercice 2019, il convient de prendre celui de l'exercie 2019, soit une perte de 0 € ==&gt; 0 %</v>
      </c>
      <c r="E572" s="524"/>
      <c r="F572" s="524"/>
      <c r="G572" s="524"/>
      <c r="H572" s="524"/>
      <c r="I572" s="524"/>
      <c r="J572" s="524"/>
      <c r="K572" s="524"/>
      <c r="L572" s="524"/>
      <c r="M572" s="524"/>
      <c r="N572" s="524"/>
      <c r="O572" s="524"/>
      <c r="P572" s="1"/>
      <c r="T572" s="14"/>
      <c r="U572" s="525" t="s">
        <v>72</v>
      </c>
      <c r="V572" s="525"/>
      <c r="W572" s="525"/>
      <c r="X572" s="525"/>
      <c r="Y572" s="525"/>
      <c r="Z572" s="139"/>
      <c r="AA572" s="145"/>
      <c r="AB572" s="344" t="str">
        <f>IF(AB552="Oui","Oui","Non")</f>
        <v>Oui</v>
      </c>
      <c r="AC572" s="139"/>
      <c r="AD572" s="1"/>
      <c r="AE572" s="13"/>
    </row>
    <row r="573" spans="1:31" ht="16.5" hidden="1" customHeight="1">
      <c r="A573" s="99"/>
      <c r="B573" s="103"/>
      <c r="C573" s="342"/>
      <c r="D573" s="524"/>
      <c r="E573" s="524"/>
      <c r="F573" s="524"/>
      <c r="G573" s="524"/>
      <c r="H573" s="524"/>
      <c r="I573" s="524"/>
      <c r="J573" s="524"/>
      <c r="K573" s="524"/>
      <c r="L573" s="524"/>
      <c r="M573" s="524"/>
      <c r="N573" s="524"/>
      <c r="O573" s="524"/>
      <c r="P573" s="1"/>
      <c r="T573" s="14"/>
      <c r="U573" s="525" t="s">
        <v>84</v>
      </c>
      <c r="V573" s="525"/>
      <c r="W573" s="525"/>
      <c r="X573" s="525"/>
      <c r="Y573" s="525"/>
      <c r="Z573" s="139"/>
      <c r="AA573" s="145"/>
      <c r="AB573" s="344">
        <f>IF('Mon Entreprise'!K8&gt;=Annexes!O20,IF(AB540&gt;=AB542,AB540,AB542),IF(AB540&gt;=AB541,AB540,AB541))</f>
        <v>0</v>
      </c>
      <c r="AC573" s="139"/>
      <c r="AD573" s="1"/>
      <c r="AE573" s="13"/>
    </row>
    <row r="574" spans="1:31" ht="16.5" hidden="1" customHeight="1">
      <c r="B574" s="103"/>
      <c r="C574" s="342"/>
      <c r="D574" s="215"/>
      <c r="E574" s="340"/>
      <c r="F574" s="340"/>
      <c r="G574" s="340"/>
      <c r="H574" s="340"/>
      <c r="I574" s="340"/>
      <c r="J574" s="340"/>
      <c r="K574" s="340"/>
      <c r="L574" s="340"/>
      <c r="M574" s="340"/>
      <c r="N574" s="340"/>
      <c r="O574" s="340"/>
      <c r="P574" s="1"/>
      <c r="T574" s="14"/>
      <c r="U574" s="525" t="s">
        <v>85</v>
      </c>
      <c r="V574" s="525"/>
      <c r="W574" s="525"/>
      <c r="X574" s="525"/>
      <c r="Y574" s="525"/>
      <c r="Z574" s="139"/>
      <c r="AA574" s="145"/>
      <c r="AB574" s="344">
        <f>IF('Mon Entreprise'!K8&gt;=Annexes!O20,IF(AB540&gt;=AB542,AE540,AE542),IF(AB540&gt;=AB541,AE540,AE541))</f>
        <v>0</v>
      </c>
      <c r="AC574" s="139"/>
      <c r="AD574" s="1"/>
      <c r="AE574" s="13"/>
    </row>
    <row r="575" spans="1:31" ht="16.5" hidden="1" customHeight="1" thickBot="1">
      <c r="B575" s="103"/>
      <c r="C575" s="342"/>
      <c r="D575" s="340"/>
      <c r="E575" s="340"/>
      <c r="F575" s="340"/>
      <c r="G575" s="340"/>
      <c r="H575" s="340"/>
      <c r="I575" s="340"/>
      <c r="J575" s="340"/>
      <c r="K575" s="340"/>
      <c r="L575" s="340"/>
      <c r="M575" s="340"/>
      <c r="N575" s="340"/>
      <c r="O575" s="340"/>
      <c r="P575" s="1"/>
      <c r="T575" s="14"/>
      <c r="U575" s="502" t="s">
        <v>74</v>
      </c>
      <c r="V575" s="502"/>
      <c r="W575" s="502"/>
      <c r="X575" s="502"/>
      <c r="Y575" s="502"/>
      <c r="Z575" s="139"/>
      <c r="AA575" s="145"/>
      <c r="AB575" s="344">
        <v>1</v>
      </c>
      <c r="AC575" s="139"/>
      <c r="AD575" s="1"/>
      <c r="AE575" s="13"/>
    </row>
    <row r="576" spans="1:31" ht="16.5" hidden="1" customHeight="1">
      <c r="B576" s="103"/>
      <c r="C576" s="342"/>
      <c r="D576" s="527" t="str">
        <f>IFERROR(IF(AB572="NON","Vous avez débuté votre activité après le 31 Janvier 2020, vous ne pouvez donc pas bénéficier de cette aide",IF(OR(AB567="OUI",AB569="OUI",AND(AB568="OUI",OR(AB562&lt;Annexes!P5,AB563&lt;Annexes!P5,'Mes Aides'!AB198&lt;0.1))),IF(AND(0.3*AB577&gt;Annexes!O8,0.2*AB576&gt;Annexes!O8),"Dans votre cas, l'aide est plafonnée, à "&amp;Annexes!O8&amp;" € pour le mois de Juillet",IF(0.3*AB577&gt;=0.2*AB576,"Dans votre cas, 30 % de la perte est supérieur à 20 % du CA, l'aide est donc plafonnée à 20 % du CA, soit "&amp;ROUND(0.2*AB576,0)&amp;" € pour le mois de Juillet","Dans votre cas, 30% de la perte est inférieure à 20 % du CA, l'aide est donc plafonnée à 30 % de la perte, soit "&amp;ROUND(0.3*AB577,0)&amp;" € pour le mois de Juillet")),"Vous ne faites pas partie des entreprises ayant leur activité mentionnée en annexe 1, ou en annexe 2, avec une perte de CA "&amp;"d'au moins 80 % entre le 15/03/2020 et le 15/05/2020 ou au mois de Novembre 2020 ou une perte de 10 % entre 2019 et 2020, ou domicilié dans les îles d'outre-mer")),"Vous n'avez pas indiqué de chiffre d'affaires de référence")</f>
        <v>Vous ne faites pas partie des entreprises ayant leur activité mentionnée en annexe 1, ou en annexe 2, avec une perte de CA d'au moins 80 % entre le 15/03/2020 et le 15/05/2020 ou au mois de Novembre 2020 ou une perte de 10 % entre 2019 et 2020, ou domicilié dans les îles d'outre-mer</v>
      </c>
      <c r="E576" s="509"/>
      <c r="F576" s="509"/>
      <c r="G576" s="509"/>
      <c r="H576" s="509"/>
      <c r="I576" s="509"/>
      <c r="J576" s="509"/>
      <c r="K576" s="509"/>
      <c r="L576" s="509"/>
      <c r="M576" s="509"/>
      <c r="N576" s="509"/>
      <c r="O576" s="510"/>
      <c r="P576" s="1"/>
      <c r="T576" s="14"/>
      <c r="U576" s="502" t="s">
        <v>80</v>
      </c>
      <c r="V576" s="502"/>
      <c r="W576" s="502"/>
      <c r="X576" s="502"/>
      <c r="Y576" s="502"/>
      <c r="Z576" s="139"/>
      <c r="AA576" s="145"/>
      <c r="AB576" s="344">
        <f>IF('Mon Entreprise'!K8&gt;=Annexes!O20,IF(AB540&gt;=AB542,Y540,Y542),IF(AB540&gt;=AB541,Y540,Y541))</f>
        <v>0</v>
      </c>
      <c r="AC576" s="139"/>
      <c r="AD576" s="1"/>
      <c r="AE576" s="13"/>
    </row>
    <row r="577" spans="2:31" ht="16.5" hidden="1" customHeight="1">
      <c r="B577" s="173"/>
      <c r="C577" s="342"/>
      <c r="D577" s="511"/>
      <c r="E577" s="512"/>
      <c r="F577" s="512"/>
      <c r="G577" s="512"/>
      <c r="H577" s="512"/>
      <c r="I577" s="512"/>
      <c r="J577" s="512"/>
      <c r="K577" s="512"/>
      <c r="L577" s="512"/>
      <c r="M577" s="512"/>
      <c r="N577" s="512"/>
      <c r="O577" s="513"/>
      <c r="P577" s="1"/>
      <c r="T577" s="14"/>
      <c r="U577" s="490" t="s">
        <v>104</v>
      </c>
      <c r="V577" s="490"/>
      <c r="W577" s="490"/>
      <c r="X577" s="490"/>
      <c r="Y577" s="490"/>
      <c r="Z577" s="1"/>
      <c r="AA577" s="14"/>
      <c r="AB577" s="343">
        <f>IF(AB575=1,AB573,IF(AB573*AB575&gt;1500,IF(AB573&gt;1500,AB573*AB575,"Impossible"),IF(AB573&lt;1500,AB573,1500)))</f>
        <v>0</v>
      </c>
      <c r="AC577" s="1"/>
      <c r="AD577" s="1"/>
      <c r="AE577" s="13"/>
    </row>
    <row r="578" spans="2:31" ht="16.5" hidden="1" customHeight="1">
      <c r="B578" s="103"/>
      <c r="C578" s="342"/>
      <c r="D578" s="511"/>
      <c r="E578" s="512"/>
      <c r="F578" s="512"/>
      <c r="G578" s="512"/>
      <c r="H578" s="512"/>
      <c r="I578" s="512"/>
      <c r="J578" s="512"/>
      <c r="K578" s="512"/>
      <c r="L578" s="512"/>
      <c r="M578" s="512"/>
      <c r="N578" s="512"/>
      <c r="O578" s="513"/>
      <c r="P578" s="1"/>
      <c r="T578" s="14"/>
      <c r="U578" s="343"/>
      <c r="V578" s="343"/>
      <c r="W578" s="343"/>
      <c r="X578" s="343"/>
      <c r="Y578" s="343"/>
      <c r="Z578" s="1"/>
      <c r="AA578" s="1"/>
      <c r="AB578" s="1"/>
      <c r="AC578" s="1"/>
      <c r="AD578" s="1"/>
      <c r="AE578" s="13"/>
    </row>
    <row r="579" spans="2:31" ht="16.5" hidden="1" customHeight="1" thickBot="1">
      <c r="B579" s="103"/>
      <c r="C579" s="342"/>
      <c r="D579" s="514"/>
      <c r="E579" s="515"/>
      <c r="F579" s="515"/>
      <c r="G579" s="515"/>
      <c r="H579" s="515"/>
      <c r="I579" s="515"/>
      <c r="J579" s="515"/>
      <c r="K579" s="515"/>
      <c r="L579" s="515"/>
      <c r="M579" s="515"/>
      <c r="N579" s="515"/>
      <c r="O579" s="516"/>
      <c r="P579" s="1"/>
      <c r="T579" s="14"/>
      <c r="U579" s="490"/>
      <c r="V579" s="490"/>
      <c r="W579" s="490"/>
      <c r="X579" s="490"/>
      <c r="Y579" s="490"/>
      <c r="Z579" s="1"/>
      <c r="AA579" s="1"/>
      <c r="AB579" s="1"/>
      <c r="AC579" s="1"/>
      <c r="AD579" s="1"/>
      <c r="AE579" s="13"/>
    </row>
    <row r="580" spans="2:31" ht="16.5" hidden="1" customHeight="1">
      <c r="B580" s="103"/>
      <c r="C580" s="169"/>
      <c r="D580" s="174"/>
      <c r="E580" s="174"/>
      <c r="F580" s="174"/>
      <c r="G580" s="174"/>
      <c r="H580" s="174"/>
      <c r="I580" s="174"/>
      <c r="J580" s="174"/>
      <c r="K580" s="174"/>
      <c r="L580" s="174"/>
      <c r="M580" s="174"/>
      <c r="N580" s="174"/>
      <c r="O580" s="174"/>
      <c r="P580" s="1"/>
      <c r="T580" s="14"/>
      <c r="U580" s="343"/>
      <c r="V580" s="343"/>
      <c r="W580" s="343"/>
      <c r="X580" s="343"/>
      <c r="Y580" s="343"/>
      <c r="Z580" s="1"/>
      <c r="AA580" s="1"/>
      <c r="AB580" s="1"/>
      <c r="AC580" s="1"/>
      <c r="AD580" s="1"/>
      <c r="AE580" s="13"/>
    </row>
    <row r="581" spans="2:31" ht="16.5" hidden="1" customHeight="1">
      <c r="B581" s="103"/>
      <c r="C581" s="342"/>
      <c r="D581" s="340"/>
      <c r="E581" s="340"/>
      <c r="F581" s="340"/>
      <c r="G581" s="340"/>
      <c r="H581" s="340"/>
      <c r="I581" s="340"/>
      <c r="J581" s="340"/>
      <c r="K581" s="340"/>
      <c r="L581" s="340"/>
      <c r="M581" s="340"/>
      <c r="N581" s="340"/>
      <c r="O581" s="340"/>
      <c r="P581" s="1"/>
      <c r="T581" s="14"/>
      <c r="U581" s="1"/>
      <c r="V581" s="1"/>
      <c r="W581" s="1"/>
      <c r="X581" s="1"/>
      <c r="Y581" s="1"/>
      <c r="Z581" s="1"/>
      <c r="AA581" s="1"/>
      <c r="AB581" s="1"/>
      <c r="AC581" s="1"/>
      <c r="AD581" s="1"/>
      <c r="AE581" s="13"/>
    </row>
    <row r="582" spans="2:31" ht="16.5" hidden="1" customHeight="1">
      <c r="B582" s="103"/>
      <c r="C582" s="529" t="s">
        <v>479</v>
      </c>
      <c r="D582" s="529"/>
      <c r="E582" s="529"/>
      <c r="F582" s="529"/>
      <c r="G582" s="529"/>
      <c r="H582" s="529"/>
      <c r="I582" s="529"/>
      <c r="J582" s="529"/>
      <c r="K582" s="529"/>
      <c r="L582" s="529"/>
      <c r="M582" s="529"/>
      <c r="N582" s="529"/>
      <c r="O582" s="529"/>
      <c r="P582" s="1"/>
      <c r="T582" s="14"/>
      <c r="U582" s="1"/>
      <c r="V582" s="1"/>
      <c r="W582" s="1"/>
      <c r="X582" s="1"/>
      <c r="Y582" s="1"/>
      <c r="Z582" s="1"/>
      <c r="AA582" s="1"/>
      <c r="AB582" s="1"/>
      <c r="AC582" s="1"/>
      <c r="AD582" s="1"/>
      <c r="AE582" s="13"/>
    </row>
    <row r="583" spans="2:31" ht="16.5" hidden="1" customHeight="1">
      <c r="B583" s="173"/>
      <c r="C583" s="342"/>
      <c r="D583" s="306"/>
      <c r="E583" s="528" t="str">
        <f>IF(AB572="NON","",IF(AB570=TRUE,"","L'entreprise n'a pas été en fermeture administrative sur le mois avec une perte de 20 % de CA"))</f>
        <v>L'entreprise n'a pas été en fermeture administrative sur le mois avec une perte de 20 % de CA</v>
      </c>
      <c r="F583" s="528"/>
      <c r="G583" s="528"/>
      <c r="H583" s="528"/>
      <c r="I583" s="528"/>
      <c r="J583" s="528"/>
      <c r="K583" s="528"/>
      <c r="L583" s="528"/>
      <c r="M583" s="528"/>
      <c r="N583" s="528"/>
      <c r="O583" s="528"/>
      <c r="P583" s="1"/>
      <c r="T583" s="14"/>
      <c r="U583" s="502" t="s">
        <v>82</v>
      </c>
      <c r="V583" s="502"/>
      <c r="W583" s="502"/>
      <c r="X583" s="502"/>
      <c r="Y583" s="502"/>
      <c r="Z583" s="68"/>
      <c r="AA583" s="1"/>
      <c r="AB583" s="1">
        <f>IFERROR(IF(AB552="Non",0,IF(AND(AB571=TRUE,AB555&gt;=0.5),IF(AB554&gt;Annexes!O5,Annexes!O5,ROUND(AB554,0)),0)),0)</f>
        <v>0</v>
      </c>
      <c r="AC583" s="1"/>
      <c r="AD583" s="1"/>
      <c r="AE583" s="13"/>
    </row>
    <row r="584" spans="2:31" ht="15" hidden="1" customHeight="1">
      <c r="B584" s="173"/>
      <c r="C584" s="342"/>
      <c r="D584" s="306"/>
      <c r="E584" s="528"/>
      <c r="F584" s="528"/>
      <c r="G584" s="528"/>
      <c r="H584" s="528"/>
      <c r="I584" s="528"/>
      <c r="J584" s="528"/>
      <c r="K584" s="528"/>
      <c r="L584" s="528"/>
      <c r="M584" s="528"/>
      <c r="N584" s="528"/>
      <c r="O584" s="528"/>
      <c r="P584" s="1"/>
      <c r="T584" s="14"/>
      <c r="U584" s="502" t="s">
        <v>504</v>
      </c>
      <c r="V584" s="502"/>
      <c r="W584" s="502"/>
      <c r="X584" s="502"/>
      <c r="Y584" s="502"/>
      <c r="Z584" s="68"/>
      <c r="AA584" s="1"/>
      <c r="AB584" s="1">
        <f>IFERROR(IF(AB572="NON",0,IF(OR(AB567="OUI",AB569="OUI",AND(AB568="OUI",OR(AB562&lt;Annexes!P5,AB563&lt;Annexes!P5,'Mes Aides'!AB198&lt;0.1))),IF(AND(0.3*AB577,0.2*AB576)&lt;Annexes!O8,Annexes!O8,IF(0.3*AB577&gt;=0.2*AB576,ROUND(0.2*AB576,0),ROUND(0.3*AB577,0))),0)),0)</f>
        <v>0</v>
      </c>
      <c r="AC584" s="1"/>
      <c r="AD584" s="1"/>
      <c r="AE584" s="13"/>
    </row>
    <row r="585" spans="2:31" ht="15" hidden="1" customHeight="1">
      <c r="B585" s="173"/>
      <c r="C585" s="342"/>
      <c r="D585" s="306"/>
      <c r="E585" s="353"/>
      <c r="F585" s="353"/>
      <c r="G585" s="353"/>
      <c r="H585" s="353"/>
      <c r="I585" s="353"/>
      <c r="J585" s="353"/>
      <c r="K585" s="353"/>
      <c r="L585" s="353"/>
      <c r="M585" s="353"/>
      <c r="N585" s="353"/>
      <c r="O585" s="353"/>
      <c r="P585" s="1"/>
      <c r="T585" s="14"/>
      <c r="U585" s="502" t="s">
        <v>478</v>
      </c>
      <c r="V585" s="502"/>
      <c r="W585" s="502"/>
      <c r="X585" s="502"/>
      <c r="Y585" s="502"/>
      <c r="Z585" s="68"/>
      <c r="AA585" s="1"/>
      <c r="AB585" s="1">
        <f>IFERROR(IF(AB572="NON",0,IF(AB570=TRUE,IF(AB576*0.2&gt;Annexes!O8,Annexes!O8,ROUND(AB576*0.2,0)),0)),0)</f>
        <v>0</v>
      </c>
      <c r="AC585" s="1"/>
      <c r="AD585" s="1"/>
      <c r="AE585" s="13"/>
    </row>
    <row r="586" spans="2:31" ht="16.5" hidden="1" customHeight="1">
      <c r="B586" s="173"/>
      <c r="C586" s="342"/>
      <c r="D586" s="417" t="str">
        <f>IFERROR(IF('Mon Entreprise'!K8&gt;=Annexes!O20,IF(AB540&gt;=AB542,"- Le CA de référence est celui de Juillet 2019, soit une perte de "&amp;ROUND(AB540,0)&amp;" €"&amp;" ==&gt; "&amp;ROUND(AE540*100,0)&amp;" %","- Le CA de référence est celui de la création, soit une perte de "&amp;ROUND(AB542,0)&amp;" €"&amp;" ==&gt; "&amp;ROUND(AE542*100,0)&amp;" %"),IF(AB540&gt;=AB541,"- Le CA de référence est celui de Juillet 2019, soit une perte de "&amp;ROUND(AB540,0)&amp;" €"&amp;" ==&gt; "&amp;ROUND(AE540*100,0)&amp;" %","- Le CA de référence est celui de l'exercice 2019, soit une perte de "&amp;ROUND(AB541,0)&amp;" €"&amp;" ==&gt; "&amp;ROUND(AE541*100,0)&amp;" %")),"")</f>
        <v>- Le CA de référence est celui de Juillet 2019, soit une perte de 0 € ==&gt; 0 %</v>
      </c>
      <c r="E586" s="417"/>
      <c r="F586" s="417"/>
      <c r="G586" s="417"/>
      <c r="H586" s="417"/>
      <c r="I586" s="417"/>
      <c r="J586" s="417"/>
      <c r="K586" s="417"/>
      <c r="L586" s="417"/>
      <c r="M586" s="417"/>
      <c r="N586" s="417"/>
      <c r="O586" s="417"/>
      <c r="P586" s="340"/>
      <c r="Q586" s="340"/>
      <c r="T586" s="14"/>
      <c r="U586" s="1"/>
      <c r="V586" s="1"/>
      <c r="W586" s="1"/>
      <c r="X586" s="1"/>
      <c r="Y586" s="1"/>
      <c r="Z586" s="1"/>
      <c r="AA586" s="1"/>
      <c r="AB586" s="1"/>
      <c r="AC586" s="1"/>
      <c r="AD586" s="1"/>
      <c r="AE586" s="13"/>
    </row>
    <row r="587" spans="2:31" ht="16.5" hidden="1" customHeight="1">
      <c r="B587" s="173"/>
      <c r="C587" s="342"/>
      <c r="D587" s="524" t="str">
        <f>IFERROR(IF('Mon Entreprise'!K8&gt;=Annexes!O20,"",IF(AB540&lt;AB541,"A noter qu'il convient de choisir l'option retenue par l'entreprise lors de sa demande au titre du mois Février ou a défaut celui du mois de Mars, Avril, Mai, ou Juin 2021, si le CA de référence était celui de février (...) 2019, il convient"&amp;" de prendre celui de Juillet 2019 (...), soit "&amp;ROUND(AB540,0)&amp;" €"&amp;" ==&gt; "&amp;ROUND(AE540*100,0)&amp;" %","A noter qu'il convient de choisir l'option retenue par l'entreprise lors de sa demande au titre du mois Février "&amp;"ou a défaut celui du mois de Mars, d'Avril, Mai, ou Juin 2021, si le CA de référence était celui de l'exercice 2019, il convient de prendre celui de l'exercie 2019, soit une perte de "&amp;ROUND(AB541,0)&amp;" €"&amp;" ==&gt; "&amp;ROUND(AE541*100,0)&amp;" %")),"")</f>
        <v>A noter qu'il convient de choisir l'option retenue par l'entreprise lors de sa demande au titre du mois Février ou a défaut celui du mois de Mars, d'Avril, Mai, ou Juin 2021, si le CA de référence était celui de l'exercice 2019, il convient de prendre celui de l'exercie 2019, soit une perte de 0 € ==&gt; 0 %</v>
      </c>
      <c r="E587" s="524"/>
      <c r="F587" s="524"/>
      <c r="G587" s="524"/>
      <c r="H587" s="524"/>
      <c r="I587" s="524"/>
      <c r="J587" s="524"/>
      <c r="K587" s="524"/>
      <c r="L587" s="524"/>
      <c r="M587" s="524"/>
      <c r="N587" s="524"/>
      <c r="O587" s="524"/>
      <c r="P587" s="340"/>
      <c r="Q587" s="340"/>
      <c r="T587" s="14"/>
      <c r="U587" s="1"/>
      <c r="V587" s="1"/>
      <c r="W587" s="1"/>
      <c r="X587" s="1"/>
      <c r="Y587" s="1"/>
      <c r="Z587" s="1"/>
      <c r="AA587" s="1"/>
      <c r="AB587" s="1"/>
      <c r="AC587" s="1"/>
      <c r="AD587" s="1"/>
      <c r="AE587" s="13"/>
    </row>
    <row r="588" spans="2:31" ht="16.5" hidden="1" customHeight="1">
      <c r="B588" s="173"/>
      <c r="C588" s="342"/>
      <c r="D588" s="524"/>
      <c r="E588" s="524"/>
      <c r="F588" s="524"/>
      <c r="G588" s="524"/>
      <c r="H588" s="524"/>
      <c r="I588" s="524"/>
      <c r="J588" s="524"/>
      <c r="K588" s="524"/>
      <c r="L588" s="524"/>
      <c r="M588" s="524"/>
      <c r="N588" s="524"/>
      <c r="O588" s="524"/>
      <c r="P588" s="340"/>
      <c r="Q588" s="340"/>
      <c r="T588" s="14"/>
      <c r="U588" s="1"/>
      <c r="V588" s="1"/>
      <c r="W588" s="1"/>
      <c r="X588" s="1"/>
      <c r="Y588" s="1"/>
      <c r="Z588" s="1"/>
      <c r="AA588" s="1"/>
      <c r="AB588" s="1"/>
      <c r="AC588" s="1"/>
      <c r="AD588" s="1"/>
      <c r="AE588" s="13"/>
    </row>
    <row r="589" spans="2:31" ht="16.5" hidden="1" customHeight="1" thickBot="1">
      <c r="B589" s="168"/>
      <c r="C589" s="342"/>
      <c r="D589" s="205"/>
      <c r="E589" s="340"/>
      <c r="F589" s="340"/>
      <c r="G589" s="340"/>
      <c r="H589" s="340"/>
      <c r="I589" s="340"/>
      <c r="J589" s="340"/>
      <c r="K589" s="340"/>
      <c r="L589" s="340"/>
      <c r="M589" s="340"/>
      <c r="N589" s="340"/>
      <c r="O589" s="340"/>
      <c r="P589" s="340"/>
      <c r="Q589" s="340"/>
      <c r="T589" s="14"/>
      <c r="U589" s="1"/>
      <c r="V589" s="1"/>
      <c r="W589" s="1"/>
      <c r="X589" s="1"/>
      <c r="Y589" s="1"/>
      <c r="Z589" s="1"/>
      <c r="AA589" s="1"/>
      <c r="AB589" s="1"/>
      <c r="AC589" s="1"/>
      <c r="AD589" s="1"/>
      <c r="AE589" s="13"/>
    </row>
    <row r="590" spans="2:31" ht="16.5" hidden="1" customHeight="1">
      <c r="B590" s="103"/>
      <c r="C590" s="180"/>
      <c r="D590" s="526" t="str">
        <f>IFERROR(IF(AB572="NON","Vous avez débuté votre activité après le 31 Janvier 2020, vous ne pouvez donc pas bénéficier de cette aide",IF(AB570=TRUE,IF(AB576*0.2&gt;Annexes!O8,"Dans votre cas, l'aide est plafonnée, à "&amp;Annexes!O8&amp;" € pour le mois de Juillet","Dans votre cas, l'aide est plafonnée à 20 % du CA, soit "&amp;ROUND(AB576*0.2,0)&amp;" € pour le mois de Juillet"),"Vous ne faites pas partie des entreprises en fermeture Administrative avec 20 % de perte de CA")),"Vous n'avez pas indiqué de chiffre d'affaires de référence")</f>
        <v>Vous ne faites pas partie des entreprises en fermeture Administrative avec 20 % de perte de CA</v>
      </c>
      <c r="E590" s="509"/>
      <c r="F590" s="509"/>
      <c r="G590" s="509"/>
      <c r="H590" s="509"/>
      <c r="I590" s="509"/>
      <c r="J590" s="509"/>
      <c r="K590" s="509"/>
      <c r="L590" s="509"/>
      <c r="M590" s="509"/>
      <c r="N590" s="509"/>
      <c r="O590" s="510"/>
      <c r="P590" s="340"/>
      <c r="Q590" s="340"/>
      <c r="T590" s="14"/>
      <c r="U590" s="1"/>
      <c r="V590" s="1"/>
      <c r="W590" s="1"/>
      <c r="X590" s="1"/>
      <c r="Y590" s="1"/>
      <c r="Z590" s="1"/>
      <c r="AA590" s="1"/>
      <c r="AB590" s="1"/>
      <c r="AC590" s="1"/>
      <c r="AD590" s="1"/>
      <c r="AE590" s="13"/>
    </row>
    <row r="591" spans="2:31" ht="16.5" hidden="1" customHeight="1">
      <c r="B591" s="103"/>
      <c r="C591" s="180"/>
      <c r="D591" s="511"/>
      <c r="E591" s="512"/>
      <c r="F591" s="512"/>
      <c r="G591" s="512"/>
      <c r="H591" s="512"/>
      <c r="I591" s="512"/>
      <c r="J591" s="512"/>
      <c r="K591" s="512"/>
      <c r="L591" s="512"/>
      <c r="M591" s="512"/>
      <c r="N591" s="512"/>
      <c r="O591" s="513"/>
      <c r="P591" s="340"/>
      <c r="Q591" s="340"/>
      <c r="T591" s="14"/>
      <c r="U591" s="1"/>
      <c r="V591" s="1"/>
      <c r="W591" s="1"/>
      <c r="X591" s="1"/>
      <c r="Y591" s="1"/>
      <c r="Z591" s="1"/>
      <c r="AA591" s="1"/>
      <c r="AB591" s="1"/>
      <c r="AC591" s="1"/>
      <c r="AD591" s="1"/>
      <c r="AE591" s="13"/>
    </row>
    <row r="592" spans="2:31" ht="16.5" hidden="1" customHeight="1">
      <c r="B592" s="103"/>
      <c r="C592" s="180"/>
      <c r="D592" s="511"/>
      <c r="E592" s="512"/>
      <c r="F592" s="512"/>
      <c r="G592" s="512"/>
      <c r="H592" s="512"/>
      <c r="I592" s="512"/>
      <c r="J592" s="512"/>
      <c r="K592" s="512"/>
      <c r="L592" s="512"/>
      <c r="M592" s="512"/>
      <c r="N592" s="512"/>
      <c r="O592" s="513"/>
      <c r="P592" s="175"/>
      <c r="Q592" s="175"/>
      <c r="T592" s="14"/>
      <c r="U592" s="1"/>
      <c r="V592" s="1"/>
      <c r="W592" s="1"/>
      <c r="X592" s="1"/>
      <c r="Y592" s="1"/>
      <c r="Z592" s="1"/>
      <c r="AA592" s="1"/>
      <c r="AB592" s="1"/>
      <c r="AC592" s="1"/>
      <c r="AD592" s="1"/>
      <c r="AE592" s="13"/>
    </row>
    <row r="593" spans="2:31" ht="16.5" hidden="1" customHeight="1" thickBot="1">
      <c r="B593" s="103"/>
      <c r="C593" s="180"/>
      <c r="D593" s="514"/>
      <c r="E593" s="515"/>
      <c r="F593" s="515"/>
      <c r="G593" s="515"/>
      <c r="H593" s="515"/>
      <c r="I593" s="515"/>
      <c r="J593" s="515"/>
      <c r="K593" s="515"/>
      <c r="L593" s="515"/>
      <c r="M593" s="515"/>
      <c r="N593" s="515"/>
      <c r="O593" s="516"/>
      <c r="T593" s="14"/>
      <c r="U593" s="1"/>
      <c r="V593" s="1"/>
      <c r="W593" s="1"/>
      <c r="X593" s="1"/>
      <c r="Y593" s="1"/>
      <c r="Z593" s="1"/>
      <c r="AA593" s="1"/>
      <c r="AB593" s="1"/>
      <c r="AC593" s="1"/>
      <c r="AD593" s="1"/>
      <c r="AE593" s="13"/>
    </row>
    <row r="594" spans="2:31" ht="16.5" hidden="1" customHeight="1">
      <c r="B594" s="5"/>
      <c r="C594" s="5"/>
      <c r="D594" s="354"/>
      <c r="E594" s="354"/>
      <c r="F594" s="354"/>
      <c r="G594" s="354"/>
      <c r="H594" s="354"/>
      <c r="I594" s="354"/>
      <c r="J594" s="354"/>
      <c r="K594" s="354"/>
      <c r="L594" s="354"/>
      <c r="M594" s="354"/>
      <c r="N594" s="354"/>
      <c r="O594" s="354"/>
      <c r="P594" s="177"/>
      <c r="Q594" s="177"/>
      <c r="T594" s="14"/>
      <c r="U594" s="1"/>
      <c r="V594" s="1"/>
      <c r="W594" s="1"/>
      <c r="X594" s="1"/>
      <c r="Y594" s="1"/>
      <c r="Z594" s="1"/>
      <c r="AA594" s="1"/>
      <c r="AB594" s="1"/>
      <c r="AC594" s="1"/>
      <c r="AD594" s="1"/>
      <c r="AE594" s="13"/>
    </row>
    <row r="595" spans="2:31">
      <c r="B595" s="5"/>
      <c r="C595" s="5"/>
      <c r="D595" s="355"/>
      <c r="E595" s="355"/>
      <c r="F595" s="355"/>
      <c r="G595" s="355"/>
      <c r="H595" s="355"/>
      <c r="I595" s="355"/>
      <c r="J595" s="355"/>
      <c r="K595" s="355"/>
      <c r="L595" s="355"/>
      <c r="M595" s="355"/>
      <c r="N595" s="355"/>
      <c r="O595" s="355"/>
      <c r="P595" s="177"/>
      <c r="Q595" s="177"/>
      <c r="T595" s="14"/>
      <c r="U595" s="1"/>
      <c r="V595" s="1"/>
      <c r="W595" s="1"/>
      <c r="X595" s="1"/>
      <c r="Y595" s="1"/>
      <c r="Z595" s="1"/>
      <c r="AA595" s="1"/>
      <c r="AB595" s="1"/>
      <c r="AC595" s="1"/>
      <c r="AD595" s="1"/>
      <c r="AE595" s="13"/>
    </row>
    <row r="596" spans="2:31" ht="16.5" thickBot="1">
      <c r="B596" s="220"/>
      <c r="C596" s="488" t="s">
        <v>496</v>
      </c>
      <c r="D596" s="488"/>
      <c r="E596" s="488"/>
      <c r="F596" s="488"/>
      <c r="G596" s="488"/>
      <c r="H596" s="488"/>
      <c r="I596" s="221"/>
      <c r="J596" s="221"/>
      <c r="K596" s="221"/>
      <c r="L596" s="221"/>
      <c r="M596" s="221"/>
      <c r="N596" s="221"/>
      <c r="O596" s="221"/>
      <c r="T596" s="16"/>
      <c r="U596" s="11"/>
      <c r="V596" s="11"/>
      <c r="W596" s="11"/>
      <c r="X596" s="11"/>
      <c r="Y596" s="11"/>
      <c r="Z596" s="11"/>
      <c r="AA596" s="11"/>
      <c r="AB596" s="11"/>
      <c r="AC596" s="11"/>
      <c r="AD596" s="11"/>
      <c r="AE596" s="12"/>
    </row>
    <row r="597" spans="2:31" ht="15" customHeight="1">
      <c r="B597" s="63"/>
      <c r="C597" s="24"/>
      <c r="D597" s="24"/>
      <c r="E597" s="24"/>
      <c r="F597" s="24"/>
      <c r="G597" s="24"/>
      <c r="H597" s="63"/>
      <c r="I597" s="1"/>
      <c r="J597" s="1"/>
      <c r="K597" s="1"/>
      <c r="L597" s="1"/>
      <c r="M597" s="1"/>
      <c r="N597" s="1"/>
      <c r="O597" s="1"/>
      <c r="T597" s="14"/>
      <c r="U597" s="1"/>
      <c r="V597" s="1"/>
      <c r="W597" s="1"/>
      <c r="X597" s="1"/>
      <c r="Y597" s="1"/>
      <c r="Z597" s="1"/>
      <c r="AA597" s="1"/>
      <c r="AB597" s="1"/>
      <c r="AC597" s="1"/>
      <c r="AD597" s="1"/>
      <c r="AE597" s="13"/>
    </row>
    <row r="598" spans="2:31" ht="15" customHeight="1">
      <c r="B598" s="103"/>
      <c r="C598" s="489" t="s">
        <v>497</v>
      </c>
      <c r="D598" s="489"/>
      <c r="E598" s="489"/>
      <c r="F598" s="489"/>
      <c r="G598" s="489"/>
      <c r="H598" s="489"/>
      <c r="I598" s="489"/>
      <c r="J598" s="489"/>
      <c r="K598" s="489"/>
      <c r="L598" s="489"/>
      <c r="M598" s="489"/>
      <c r="N598" s="489"/>
      <c r="O598" s="489"/>
      <c r="P598" s="1"/>
      <c r="T598" s="25"/>
      <c r="U598" s="490" t="s">
        <v>20</v>
      </c>
      <c r="V598" s="490"/>
      <c r="W598" s="490"/>
      <c r="X598" s="1"/>
      <c r="Y598" s="364" t="s">
        <v>6</v>
      </c>
      <c r="Z598" s="364"/>
      <c r="AA598" s="364"/>
      <c r="AB598" s="364" t="s">
        <v>23</v>
      </c>
      <c r="AC598" s="364"/>
      <c r="AD598" s="364"/>
      <c r="AE598" s="26" t="s">
        <v>24</v>
      </c>
    </row>
    <row r="599" spans="2:31" ht="15.75" customHeight="1">
      <c r="B599" s="103"/>
      <c r="C599" s="357"/>
      <c r="D599" s="60" t="s">
        <v>435</v>
      </c>
      <c r="E599" s="357"/>
      <c r="F599" s="357"/>
      <c r="G599" s="357"/>
      <c r="H599" s="357"/>
      <c r="I599" s="357"/>
      <c r="J599" s="357"/>
      <c r="K599" s="357"/>
      <c r="L599" s="357"/>
      <c r="M599" s="357"/>
      <c r="N599" s="357"/>
      <c r="O599" s="357"/>
      <c r="P599" s="1"/>
      <c r="T599" s="25"/>
      <c r="U599" s="364"/>
      <c r="V599" s="364"/>
      <c r="W599" s="364"/>
      <c r="X599" s="1"/>
      <c r="Y599" s="364"/>
      <c r="Z599" s="364"/>
      <c r="AA599" s="364"/>
      <c r="AB599" s="364"/>
      <c r="AC599" s="364"/>
      <c r="AD599" s="364"/>
      <c r="AE599" s="26"/>
    </row>
    <row r="600" spans="2:31" ht="16.5" thickBot="1">
      <c r="B600" s="103"/>
      <c r="C600" s="357"/>
      <c r="D600" s="60"/>
      <c r="E600" s="357"/>
      <c r="F600" s="357"/>
      <c r="G600" s="357"/>
      <c r="H600" s="357"/>
      <c r="I600" s="357"/>
      <c r="J600" s="357"/>
      <c r="K600" s="357"/>
      <c r="L600" s="357"/>
      <c r="M600" s="357"/>
      <c r="N600" s="357"/>
      <c r="O600" s="357"/>
      <c r="P600" s="1"/>
      <c r="T600" s="491" t="s">
        <v>499</v>
      </c>
      <c r="U600" s="490"/>
      <c r="V600" s="490"/>
      <c r="W600" s="490"/>
      <c r="X600" s="1"/>
      <c r="Y600" s="7">
        <f>'Mon Entreprise'!I136</f>
        <v>0</v>
      </c>
      <c r="Z600" s="133"/>
      <c r="AA600" s="21"/>
      <c r="AB600" s="7">
        <f>IF('Mon Entreprise'!I136-'Mon Entreprise'!M136&lt;0,0,'Mon Entreprise'!I136-'Mon Entreprise'!M136)</f>
        <v>0</v>
      </c>
      <c r="AC600" s="13"/>
      <c r="AD600" s="1"/>
      <c r="AE600" s="27">
        <f>IFERROR(1-'Mon Entreprise'!M136/'Mon Entreprise'!I136,0)</f>
        <v>0</v>
      </c>
    </row>
    <row r="601" spans="2:31" ht="15.75">
      <c r="B601" s="103"/>
      <c r="C601" s="357"/>
      <c r="D601" s="492" t="str">
        <f>IFERROR(IF(AND(AB645=0,AB646=0,AB647=0),"Vous ne pouvez pas bénéficier du fonds de solidarité pour le mois d'Août 2021",IF(AND(AB647&gt;AB646,AB647&gt;AB645),"Votre entreprise peut bénéficier d'une aide de "&amp;AB647&amp;" €, au titre d'une fermeture Administrative avec une perte de 20 % de CA",IF(AB646&gt;AB645,"Votre entreprise peut bénéficier d'une aide de "&amp;AB646&amp;" €, au titre des entreprises ayant leur activité mentionnée en annexe 1, ou en annexe 2, avec une perte de CA "&amp;"d'au moins 80 % entre le 15/03/2020 et le 15/05/2020 ou au mois de Novembre 2020 ou une perte de 10 % entre 2019 et 2020, ou domicilié dans les îles d'outre-mer","Votre entreprise peut bénéficier d'une aide de "&amp;AB645&amp;" €, au titre d'une fermeture administrative d'au moins 10 jours et d'une perte d'au-moins 50 % de votre CA en Août 2021"))),"Vous n'avez pas indiqué de chiffre d'affaires de référence")</f>
        <v>Vous ne pouvez pas bénéficier du fonds de solidarité pour le mois d'Août 2021</v>
      </c>
      <c r="E601" s="493"/>
      <c r="F601" s="493"/>
      <c r="G601" s="493"/>
      <c r="H601" s="493"/>
      <c r="I601" s="493"/>
      <c r="J601" s="493"/>
      <c r="K601" s="493"/>
      <c r="L601" s="493"/>
      <c r="M601" s="493"/>
      <c r="N601" s="493"/>
      <c r="O601" s="494"/>
      <c r="P601" s="1"/>
      <c r="T601" s="491" t="s">
        <v>25</v>
      </c>
      <c r="U601" s="490"/>
      <c r="V601" s="490"/>
      <c r="W601" s="490"/>
      <c r="X601" s="1"/>
      <c r="Y601" s="7">
        <f>'Mon Entreprise'!I98</f>
        <v>0</v>
      </c>
      <c r="Z601" s="133"/>
      <c r="AA601" s="21"/>
      <c r="AB601" s="7">
        <f>IF('Mon Entreprise'!I98-'Mon Entreprise'!M136&lt;0,0,'Mon Entreprise'!I98-'Mon Entreprise'!M136)</f>
        <v>0</v>
      </c>
      <c r="AC601" s="36"/>
      <c r="AD601" s="1"/>
      <c r="AE601" s="27">
        <f>IFERROR(1-'Mon Entreprise'!M136/'Mon Entreprise'!I98,0)</f>
        <v>0</v>
      </c>
    </row>
    <row r="602" spans="2:31" ht="15.75" customHeight="1">
      <c r="B602" s="103"/>
      <c r="C602" s="357"/>
      <c r="D602" s="495"/>
      <c r="E602" s="496"/>
      <c r="F602" s="496"/>
      <c r="G602" s="496"/>
      <c r="H602" s="496"/>
      <c r="I602" s="496"/>
      <c r="J602" s="496"/>
      <c r="K602" s="496"/>
      <c r="L602" s="496"/>
      <c r="M602" s="496"/>
      <c r="N602" s="496"/>
      <c r="O602" s="497"/>
      <c r="P602" s="1"/>
      <c r="T602" s="501" t="s">
        <v>22</v>
      </c>
      <c r="U602" s="502"/>
      <c r="V602" s="502"/>
      <c r="W602" s="502"/>
      <c r="X602" s="139"/>
      <c r="Y602" s="140" t="str">
        <f>IF('Mon Entreprise'!I148="","NC",'Mon Entreprise'!I148)</f>
        <v>NC</v>
      </c>
      <c r="Z602" s="191"/>
      <c r="AA602" s="192"/>
      <c r="AB602" s="143" t="str">
        <f>IFERROR(IF('Mon Entreprise'!I148-'Mon Entreprise'!M136&lt;0,0,'Mon Entreprise'!I148-'Mon Entreprise'!M136),"NC")</f>
        <v>NC</v>
      </c>
      <c r="AC602" s="193"/>
      <c r="AD602" s="139"/>
      <c r="AE602" s="146" t="str">
        <f>IFERROR(1-'Mon Entreprise'!M136/'Mon Entreprise'!I148,"NC")</f>
        <v>NC</v>
      </c>
    </row>
    <row r="603" spans="2:31" ht="15.75" customHeight="1">
      <c r="B603" s="103"/>
      <c r="C603" s="357"/>
      <c r="D603" s="495"/>
      <c r="E603" s="496"/>
      <c r="F603" s="496"/>
      <c r="G603" s="496"/>
      <c r="H603" s="496"/>
      <c r="I603" s="496"/>
      <c r="J603" s="496"/>
      <c r="K603" s="496"/>
      <c r="L603" s="496"/>
      <c r="M603" s="496"/>
      <c r="N603" s="496"/>
      <c r="O603" s="497"/>
      <c r="P603" s="1"/>
      <c r="T603" s="359"/>
      <c r="U603" s="360"/>
      <c r="V603" s="360"/>
      <c r="W603" s="360"/>
      <c r="X603" s="139"/>
      <c r="Y603" s="140"/>
      <c r="Z603" s="141"/>
      <c r="AA603" s="192"/>
      <c r="AB603" s="143"/>
      <c r="AC603" s="360"/>
      <c r="AD603" s="139"/>
      <c r="AE603" s="146"/>
    </row>
    <row r="604" spans="2:31" ht="15.75" customHeight="1">
      <c r="B604" s="103"/>
      <c r="C604" s="357"/>
      <c r="D604" s="495"/>
      <c r="E604" s="496"/>
      <c r="F604" s="496"/>
      <c r="G604" s="496"/>
      <c r="H604" s="496"/>
      <c r="I604" s="496"/>
      <c r="J604" s="496"/>
      <c r="K604" s="496"/>
      <c r="L604" s="496"/>
      <c r="M604" s="496"/>
      <c r="N604" s="496"/>
      <c r="O604" s="497"/>
      <c r="P604" s="1"/>
      <c r="T604" s="14"/>
      <c r="U604" s="1"/>
      <c r="V604" s="1"/>
      <c r="W604" s="1"/>
      <c r="X604" s="1"/>
      <c r="Y604" s="1"/>
      <c r="Z604" s="1"/>
      <c r="AA604" s="1"/>
      <c r="AB604" s="1"/>
      <c r="AC604" s="1"/>
      <c r="AD604" s="1"/>
      <c r="AE604" s="13"/>
    </row>
    <row r="605" spans="2:31" ht="15.75" customHeight="1">
      <c r="B605" s="103"/>
      <c r="C605" s="357"/>
      <c r="D605" s="495"/>
      <c r="E605" s="496"/>
      <c r="F605" s="496"/>
      <c r="G605" s="496"/>
      <c r="H605" s="496"/>
      <c r="I605" s="496"/>
      <c r="J605" s="496"/>
      <c r="K605" s="496"/>
      <c r="L605" s="496"/>
      <c r="M605" s="496"/>
      <c r="N605" s="496"/>
      <c r="O605" s="497"/>
      <c r="P605" s="1"/>
      <c r="T605" s="14"/>
      <c r="AC605" s="1"/>
      <c r="AD605" s="1"/>
      <c r="AE605" s="13"/>
    </row>
    <row r="606" spans="2:31" ht="15.75" customHeight="1" thickBot="1">
      <c r="B606" s="103"/>
      <c r="C606" s="357"/>
      <c r="D606" s="498"/>
      <c r="E606" s="499"/>
      <c r="F606" s="499"/>
      <c r="G606" s="499"/>
      <c r="H606" s="499"/>
      <c r="I606" s="499"/>
      <c r="J606" s="499"/>
      <c r="K606" s="499"/>
      <c r="L606" s="499"/>
      <c r="M606" s="499"/>
      <c r="N606" s="499"/>
      <c r="O606" s="500"/>
      <c r="P606" s="1"/>
      <c r="T606" s="14"/>
      <c r="AC606" s="1"/>
      <c r="AD606" s="1"/>
      <c r="AE606" s="13"/>
    </row>
    <row r="607" spans="2:31" ht="16.5" customHeight="1">
      <c r="B607" s="103"/>
      <c r="C607" s="357"/>
      <c r="D607" s="503" t="s">
        <v>498</v>
      </c>
      <c r="E607" s="503"/>
      <c r="F607" s="503"/>
      <c r="G607" s="503"/>
      <c r="H607" s="503"/>
      <c r="I607" s="503"/>
      <c r="J607" s="503"/>
      <c r="K607" s="503"/>
      <c r="L607" s="503"/>
      <c r="M607" s="503"/>
      <c r="N607" s="503"/>
      <c r="O607" s="503"/>
      <c r="P607" s="1"/>
      <c r="T607" s="14"/>
      <c r="AC607" s="1"/>
      <c r="AD607" s="1"/>
      <c r="AE607" s="13"/>
    </row>
    <row r="608" spans="2:31" ht="16.5" customHeight="1">
      <c r="B608" s="103"/>
      <c r="C608" s="357"/>
      <c r="D608" s="504"/>
      <c r="E608" s="504"/>
      <c r="F608" s="504"/>
      <c r="G608" s="504"/>
      <c r="H608" s="504"/>
      <c r="I608" s="504"/>
      <c r="J608" s="504"/>
      <c r="K608" s="504"/>
      <c r="L608" s="504"/>
      <c r="M608" s="504"/>
      <c r="N608" s="504"/>
      <c r="O608" s="504"/>
      <c r="P608" s="1"/>
      <c r="T608" s="14"/>
      <c r="AC608" s="1"/>
      <c r="AD608" s="1"/>
      <c r="AE608" s="13"/>
    </row>
    <row r="609" spans="2:31" ht="15.75" hidden="1">
      <c r="B609" s="103"/>
      <c r="C609" s="78"/>
      <c r="D609" s="78"/>
      <c r="E609" s="78"/>
      <c r="F609" s="78"/>
      <c r="G609" s="78"/>
      <c r="H609" s="78"/>
      <c r="I609" s="78"/>
      <c r="J609" s="78"/>
      <c r="K609" s="78"/>
      <c r="L609" s="78"/>
      <c r="M609" s="78"/>
      <c r="N609" s="78"/>
      <c r="O609" s="78"/>
      <c r="P609" s="1"/>
      <c r="T609" s="14"/>
      <c r="U609" s="1"/>
      <c r="V609" s="1"/>
      <c r="W609" s="1"/>
      <c r="X609" s="1"/>
      <c r="Y609" s="1"/>
      <c r="Z609" s="1"/>
      <c r="AA609" s="1"/>
      <c r="AB609" s="1"/>
      <c r="AC609" s="1"/>
      <c r="AD609" s="1"/>
      <c r="AE609" s="13"/>
    </row>
    <row r="610" spans="2:31" ht="15.75" hidden="1">
      <c r="B610" s="103"/>
      <c r="C610" s="357"/>
      <c r="D610" s="60"/>
      <c r="E610" s="357"/>
      <c r="F610" s="357"/>
      <c r="G610" s="357"/>
      <c r="H610" s="357"/>
      <c r="I610" s="357"/>
      <c r="J610" s="357"/>
      <c r="K610" s="357"/>
      <c r="L610" s="357"/>
      <c r="M610" s="357"/>
      <c r="N610" s="357"/>
      <c r="O610" s="357"/>
      <c r="P610" s="1"/>
      <c r="T610" s="14"/>
      <c r="U610" s="1"/>
      <c r="V610" s="1"/>
      <c r="W610" s="1"/>
      <c r="X610" s="1"/>
      <c r="Y610" s="1"/>
      <c r="Z610" s="1"/>
      <c r="AA610" s="1"/>
      <c r="AB610" s="1"/>
      <c r="AC610" s="1"/>
      <c r="AD610" s="1"/>
      <c r="AE610" s="13"/>
    </row>
    <row r="611" spans="2:31" ht="15.75" hidden="1">
      <c r="B611" s="103"/>
      <c r="C611" s="505" t="s">
        <v>510</v>
      </c>
      <c r="D611" s="505"/>
      <c r="E611" s="505"/>
      <c r="F611" s="505"/>
      <c r="G611" s="505"/>
      <c r="H611" s="505"/>
      <c r="I611" s="505"/>
      <c r="J611" s="505"/>
      <c r="K611" s="505"/>
      <c r="L611" s="505"/>
      <c r="M611" s="505"/>
      <c r="N611" s="505"/>
      <c r="O611" s="505"/>
      <c r="P611" s="1"/>
      <c r="T611" s="14"/>
      <c r="U611" s="1"/>
      <c r="V611" s="1"/>
      <c r="W611" s="1"/>
      <c r="X611" s="1"/>
      <c r="Y611" s="1"/>
      <c r="Z611" s="1"/>
      <c r="AA611" s="1"/>
      <c r="AB611" s="1"/>
      <c r="AC611" s="1"/>
      <c r="AD611" s="1"/>
      <c r="AE611" s="13"/>
    </row>
    <row r="612" spans="2:31" ht="15.75" hidden="1">
      <c r="B612" s="103"/>
      <c r="C612" s="505"/>
      <c r="D612" s="505"/>
      <c r="E612" s="505"/>
      <c r="F612" s="505"/>
      <c r="G612" s="505"/>
      <c r="H612" s="505"/>
      <c r="I612" s="505"/>
      <c r="J612" s="505"/>
      <c r="K612" s="505"/>
      <c r="L612" s="505"/>
      <c r="M612" s="505"/>
      <c r="N612" s="505"/>
      <c r="O612" s="505"/>
      <c r="P612" s="1"/>
      <c r="T612" s="14"/>
      <c r="U612" s="506" t="s">
        <v>72</v>
      </c>
      <c r="V612" s="506"/>
      <c r="W612" s="506"/>
      <c r="X612" s="506"/>
      <c r="Y612" s="506"/>
      <c r="Z612" s="1"/>
      <c r="AA612" s="14"/>
      <c r="AB612" s="360" t="str">
        <f>IF('Mon Entreprise'!K8&lt;=Annexes!R15,"Oui","Non")</f>
        <v>Oui</v>
      </c>
      <c r="AC612" s="1"/>
      <c r="AD612" s="1"/>
      <c r="AE612" s="13"/>
    </row>
    <row r="613" spans="2:31" ht="15.75" hidden="1">
      <c r="B613" s="168"/>
      <c r="C613" s="357"/>
      <c r="D613" s="60" t="str">
        <f>IFERROR(IF('Mon Entreprise'!K8&gt;=Annexes!O20,IF(AB600&gt;=AB602,"Le CA de référence est celui d'Août 2019, soit une perte de "&amp;ROUND(AB600,0)&amp;" €"&amp;" ==&gt; "&amp;ROUND(AE600*100,0)&amp;" %","Le CA de référence est celui de la création, soit une perte de "&amp;ROUND(AB602,0)&amp;" €"&amp;" ==&gt; "&amp;ROUND(AE602*100,0)&amp;" %"),IF(AB600&gt;=AB601,"Le CA de référence est celui d'Août 2019, soit une perte de "&amp;ROUND(AB600,0)&amp;" €"&amp;" ==&gt; "&amp;ROUND(AE600*100,0)&amp;" %","Le CA de référence est celui de l'exercice 2019, soit une perte de "&amp;ROUND(AB601,0)&amp;" €"&amp;" ==&gt; "&amp;ROUND(AE601*100,0)&amp;" %")),"")</f>
        <v>Le CA de référence est celui d'Août 2019, soit une perte de 0 € ==&gt; 0 %</v>
      </c>
      <c r="E613" s="357"/>
      <c r="F613" s="357"/>
      <c r="G613" s="357"/>
      <c r="H613" s="357"/>
      <c r="I613" s="357"/>
      <c r="J613" s="357"/>
      <c r="K613" s="357"/>
      <c r="L613" s="357"/>
      <c r="M613" s="357"/>
      <c r="N613" s="357"/>
      <c r="O613" s="357"/>
      <c r="P613" s="1"/>
      <c r="T613" s="14"/>
      <c r="U613" s="361"/>
      <c r="V613" s="506" t="s">
        <v>393</v>
      </c>
      <c r="W613" s="506"/>
      <c r="X613" s="506"/>
      <c r="Y613" s="506"/>
      <c r="Z613" s="1"/>
      <c r="AA613" s="14"/>
      <c r="AB613" s="360">
        <f>IF('Mon Entreprise'!K8&gt;=Annexes!O20,IF(Y600&gt;=Y602,Y600,Y602),IF(Y600&gt;=Y601,Y600,Y601))</f>
        <v>0</v>
      </c>
      <c r="AC613" s="1"/>
      <c r="AD613" s="1"/>
      <c r="AE613" s="13"/>
    </row>
    <row r="614" spans="2:31" ht="15.75" hidden="1" customHeight="1">
      <c r="B614" s="168"/>
      <c r="C614" s="357"/>
      <c r="D614" s="507" t="str">
        <f>IFERROR(IF('Mon Entreprise'!K8&gt;=Annexes!O20,"",IF(AB600&lt;AB601,"A noter qu'il convient de choisir l'option retenue par l'entreprise lors de sa demande au titre du mois Février 2021, ou a défaut celui du mois de Mars, d'Avril, Mai, Juin, Juillet 2021, si le CA de référence était celui de février 2019 (...),"&amp;" il convient de prendre"&amp;" celui d'Août 2019, soit "&amp;ROUND(AB600,0)&amp;" €"&amp;" ==&gt; "&amp;ROUND(AE600*100,0)&amp;" %","A noter qu'il convient de choisir l'option retenue par l'entreprise lors de sa demande au titre du mois Février 2021, ou "&amp;"a défaut celui du mois de Mars, d'Avril, Mai, Juin ou Juillet 2021, si"&amp;" le CA de référence était celui de l'exercice 2019, il convient de prendre celui de l'exercie 2019, soit une perte de "&amp;ROUND(AB601,0)&amp;" €"&amp;" ==&gt; "&amp;ROUND(AE601*100,0)&amp;" %")),"")</f>
        <v>A noter qu'il convient de choisir l'option retenue par l'entreprise lors de sa demande au titre du mois Février 2021, ou a défaut celui du mois de Mars, d'Avril, Mai, Juin ou Juillet 2021, si le CA de référence était celui de l'exercice 2019, il convient de prendre celui de l'exercie 2019, soit une perte de 0 € ==&gt; 0 %</v>
      </c>
      <c r="E614" s="507"/>
      <c r="F614" s="507"/>
      <c r="G614" s="507"/>
      <c r="H614" s="507"/>
      <c r="I614" s="507"/>
      <c r="J614" s="507"/>
      <c r="K614" s="507"/>
      <c r="L614" s="507"/>
      <c r="M614" s="507"/>
      <c r="N614" s="507"/>
      <c r="O614" s="507"/>
      <c r="P614" s="1"/>
      <c r="T614" s="14"/>
      <c r="U614" s="506" t="s">
        <v>84</v>
      </c>
      <c r="V614" s="506"/>
      <c r="W614" s="506"/>
      <c r="X614" s="506"/>
      <c r="Y614" s="506"/>
      <c r="Z614" s="1"/>
      <c r="AA614" s="14"/>
      <c r="AB614" s="358">
        <f>IF('Mon Entreprise'!K8&gt;=Annexes!O20,IF(AB600&gt;=AB602,AB600,AB602),IF(AB600&gt;=AB601,AB600,AB601))</f>
        <v>0</v>
      </c>
      <c r="AC614" s="1"/>
      <c r="AD614" s="1"/>
      <c r="AE614" s="13"/>
    </row>
    <row r="615" spans="2:31" ht="15.75" hidden="1">
      <c r="B615" s="168"/>
      <c r="C615" s="357"/>
      <c r="D615" s="507"/>
      <c r="E615" s="507"/>
      <c r="F615" s="507"/>
      <c r="G615" s="507"/>
      <c r="H615" s="507"/>
      <c r="I615" s="507"/>
      <c r="J615" s="507"/>
      <c r="K615" s="507"/>
      <c r="L615" s="507"/>
      <c r="M615" s="507"/>
      <c r="N615" s="507"/>
      <c r="O615" s="507"/>
      <c r="P615" s="1"/>
      <c r="T615" s="14"/>
      <c r="U615" s="506" t="s">
        <v>85</v>
      </c>
      <c r="V615" s="506"/>
      <c r="W615" s="506"/>
      <c r="X615" s="506"/>
      <c r="Y615" s="506"/>
      <c r="Z615" s="1"/>
      <c r="AA615" s="14"/>
      <c r="AB615" s="19">
        <f>IF('Mon Entreprise'!K8&gt;=Annexes!O20,IF(AB600&gt;=AB602,AE600,AE602),IF(AB600&gt;=AB601,AE600,AE601))</f>
        <v>0</v>
      </c>
      <c r="AC615" s="1"/>
      <c r="AD615" s="1"/>
      <c r="AE615" s="13"/>
    </row>
    <row r="616" spans="2:31" ht="15.75" hidden="1">
      <c r="B616" s="168"/>
      <c r="C616" s="357"/>
      <c r="D616" s="507"/>
      <c r="E616" s="507"/>
      <c r="F616" s="507"/>
      <c r="G616" s="507"/>
      <c r="H616" s="507"/>
      <c r="I616" s="507"/>
      <c r="J616" s="507"/>
      <c r="K616" s="507"/>
      <c r="L616" s="507"/>
      <c r="M616" s="507"/>
      <c r="N616" s="507"/>
      <c r="O616" s="507"/>
      <c r="P616" s="1"/>
      <c r="T616" s="14"/>
      <c r="U616" s="361"/>
      <c r="V616" s="361"/>
      <c r="W616" s="361"/>
      <c r="X616" s="361"/>
      <c r="Y616" s="361"/>
      <c r="Z616" s="1"/>
      <c r="AA616" s="1"/>
      <c r="AB616" s="19"/>
      <c r="AC616" s="1"/>
      <c r="AD616" s="1"/>
      <c r="AE616" s="13"/>
    </row>
    <row r="617" spans="2:31" ht="16.5" hidden="1" thickBot="1">
      <c r="B617" s="103"/>
      <c r="C617" s="357"/>
      <c r="D617" s="60" t="s">
        <v>7</v>
      </c>
      <c r="E617" s="357"/>
      <c r="F617" s="357"/>
      <c r="G617" s="357"/>
      <c r="H617" s="357"/>
      <c r="I617" s="357"/>
      <c r="J617" s="357"/>
      <c r="K617" s="357"/>
      <c r="L617" s="357"/>
      <c r="M617" s="357"/>
      <c r="N617" s="357"/>
      <c r="O617" s="357"/>
      <c r="P617" s="1"/>
      <c r="T617" s="14"/>
      <c r="U617" s="1"/>
      <c r="V617" s="1"/>
      <c r="W617" s="1"/>
      <c r="X617" s="1"/>
      <c r="Y617" s="1"/>
      <c r="Z617" s="1"/>
      <c r="AA617" s="1"/>
      <c r="AB617" s="1"/>
      <c r="AC617" s="1"/>
      <c r="AD617" s="1"/>
      <c r="AE617" s="13"/>
    </row>
    <row r="618" spans="2:31" ht="15.75" hidden="1">
      <c r="B618" s="168"/>
      <c r="C618" s="357"/>
      <c r="D618" s="508" t="str">
        <f>IFERROR(IF(AB612="Non","Vous avez débuté votre activité après le 31 Janvier 2020, vous ne pouvez donc pas bénéficier de cette aide",IF(AND(AB631=TRUE,AB615&gt;=0.2),IF(AB614&gt;Annexes!O5,"Dans votre cas, l'aide est Plafonnée, à "&amp;Annexes!O5&amp;" € pour le mois d'Août","Vous pouvez bénéficier, au titre de cette aide, d'un montant de "&amp;ROUND(AB614,0)&amp;" € pour le mois d'Août"),"L'entreprise n'a pas une perte d'au moins 20 % en Août 2021 ou n'a pas été en fermeture Administrative au moins 8 Jours")),"Vous n'avez pas indiqué de chiffre d'affaires de référence")</f>
        <v>L'entreprise n'a pas une perte d'au moins 20 % en Août 2021 ou n'a pas été en fermeture Administrative au moins 8 Jours</v>
      </c>
      <c r="E618" s="509"/>
      <c r="F618" s="509"/>
      <c r="G618" s="509"/>
      <c r="H618" s="509"/>
      <c r="I618" s="509"/>
      <c r="J618" s="509"/>
      <c r="K618" s="509"/>
      <c r="L618" s="509"/>
      <c r="M618" s="509"/>
      <c r="N618" s="509"/>
      <c r="O618" s="510"/>
      <c r="P618" s="1"/>
      <c r="T618" s="14"/>
      <c r="U618" s="1"/>
      <c r="V618" s="1"/>
      <c r="W618" s="1"/>
      <c r="X618" s="1"/>
      <c r="Y618" s="1"/>
      <c r="Z618" s="1"/>
      <c r="AA618" s="1"/>
      <c r="AB618" s="1"/>
      <c r="AC618" s="1"/>
      <c r="AD618" s="1"/>
      <c r="AE618" s="13"/>
    </row>
    <row r="619" spans="2:31" ht="15.75" hidden="1" customHeight="1">
      <c r="B619" s="168"/>
      <c r="C619" s="357"/>
      <c r="D619" s="511"/>
      <c r="E619" s="512"/>
      <c r="F619" s="512"/>
      <c r="G619" s="512"/>
      <c r="H619" s="512"/>
      <c r="I619" s="512"/>
      <c r="J619" s="512"/>
      <c r="K619" s="512"/>
      <c r="L619" s="512"/>
      <c r="M619" s="512"/>
      <c r="N619" s="512"/>
      <c r="O619" s="513"/>
      <c r="P619" s="1"/>
      <c r="T619" s="14"/>
      <c r="U619" s="1"/>
      <c r="V619" s="1"/>
      <c r="W619" s="1"/>
      <c r="X619" s="1"/>
      <c r="Y619" s="1"/>
      <c r="Z619" s="1"/>
      <c r="AA619" s="1"/>
      <c r="AB619" s="1"/>
      <c r="AC619" s="1"/>
      <c r="AD619" s="1"/>
      <c r="AE619" s="13"/>
    </row>
    <row r="620" spans="2:31" ht="15.75" hidden="1" customHeight="1">
      <c r="B620" s="103"/>
      <c r="C620" s="357"/>
      <c r="D620" s="511"/>
      <c r="E620" s="512"/>
      <c r="F620" s="512"/>
      <c r="G620" s="512"/>
      <c r="H620" s="512"/>
      <c r="I620" s="512"/>
      <c r="J620" s="512"/>
      <c r="K620" s="512"/>
      <c r="L620" s="512"/>
      <c r="M620" s="512"/>
      <c r="N620" s="512"/>
      <c r="O620" s="513"/>
      <c r="P620" s="1"/>
      <c r="T620" s="14"/>
      <c r="U620" s="1"/>
      <c r="V620" s="1"/>
      <c r="W620" s="1"/>
      <c r="X620" s="1"/>
      <c r="Y620" s="1"/>
      <c r="Z620" s="1"/>
      <c r="AA620" s="1"/>
      <c r="AB620" s="1"/>
      <c r="AC620" s="1"/>
      <c r="AD620" s="1"/>
      <c r="AE620" s="13"/>
    </row>
    <row r="621" spans="2:31" ht="15.75" hidden="1" customHeight="1" thickBot="1">
      <c r="B621" s="103"/>
      <c r="C621" s="357"/>
      <c r="D621" s="514"/>
      <c r="E621" s="515"/>
      <c r="F621" s="515"/>
      <c r="G621" s="515"/>
      <c r="H621" s="515"/>
      <c r="I621" s="515"/>
      <c r="J621" s="515"/>
      <c r="K621" s="515"/>
      <c r="L621" s="515"/>
      <c r="M621" s="515"/>
      <c r="N621" s="515"/>
      <c r="O621" s="516"/>
      <c r="P621" s="1"/>
      <c r="T621" s="14"/>
      <c r="U621" s="1"/>
      <c r="V621" s="1"/>
      <c r="W621" s="1"/>
      <c r="X621" s="1"/>
      <c r="Y621" s="1"/>
      <c r="Z621" s="1"/>
      <c r="AA621" s="1"/>
      <c r="AB621" s="1"/>
      <c r="AC621" s="1"/>
      <c r="AD621" s="1"/>
      <c r="AE621" s="13"/>
    </row>
    <row r="622" spans="2:31" ht="16.5" hidden="1" customHeight="1">
      <c r="B622" s="103"/>
      <c r="C622" s="169"/>
      <c r="D622" s="517"/>
      <c r="E622" s="517"/>
      <c r="F622" s="517"/>
      <c r="G622" s="517"/>
      <c r="H622" s="517"/>
      <c r="I622" s="517"/>
      <c r="J622" s="517"/>
      <c r="K622" s="517"/>
      <c r="L622" s="517"/>
      <c r="M622" s="517"/>
      <c r="N622" s="517"/>
      <c r="O622" s="517"/>
      <c r="P622" s="1"/>
      <c r="T622" s="518" t="s">
        <v>4</v>
      </c>
      <c r="U622" s="519"/>
      <c r="V622" s="519"/>
      <c r="W622" s="519"/>
      <c r="X622" s="519"/>
      <c r="Y622" s="519"/>
      <c r="Z622" s="139"/>
      <c r="AA622" s="145"/>
      <c r="AB622" s="194">
        <f>IFERROR(IF('Mon Entreprise'!K8&gt;=Annexes!Q18,0,1-'Mon Entreprise'!M118/2/AB613),0)</f>
        <v>0</v>
      </c>
      <c r="AC622" s="1"/>
      <c r="AD622" s="1"/>
      <c r="AE622" s="13"/>
    </row>
    <row r="623" spans="2:31" ht="16.5" hidden="1" customHeight="1">
      <c r="B623" s="103"/>
      <c r="C623" s="357"/>
      <c r="D623" s="306"/>
      <c r="E623" s="306"/>
      <c r="F623" s="306"/>
      <c r="G623" s="306"/>
      <c r="H623" s="306"/>
      <c r="I623" s="306"/>
      <c r="J623" s="306"/>
      <c r="K623" s="306"/>
      <c r="L623" s="306"/>
      <c r="M623" s="306"/>
      <c r="N623" s="306"/>
      <c r="O623" s="306"/>
      <c r="P623" s="1"/>
      <c r="T623" s="110"/>
      <c r="U623" s="520" t="s">
        <v>102</v>
      </c>
      <c r="V623" s="520"/>
      <c r="W623" s="520"/>
      <c r="X623" s="520"/>
      <c r="Y623" s="520"/>
      <c r="Z623" s="139"/>
      <c r="AA623" s="145"/>
      <c r="AB623" s="194">
        <f>IFERROR(IF('Mon Entreprise'!K8&gt;Annexes!Q29,0,IF('Mon Entreprise'!K8&gt;Annexes!Q26,1,1-'Mon Entreprise'!M114/AB613)),0)</f>
        <v>0</v>
      </c>
      <c r="AC623" s="1"/>
      <c r="AD623" s="1"/>
      <c r="AE623" s="13"/>
    </row>
    <row r="624" spans="2:31" ht="16.5" hidden="1" customHeight="1">
      <c r="B624" s="103"/>
      <c r="C624" s="505" t="s">
        <v>512</v>
      </c>
      <c r="D624" s="505"/>
      <c r="E624" s="505"/>
      <c r="F624" s="505"/>
      <c r="G624" s="505"/>
      <c r="H624" s="505"/>
      <c r="I624" s="505"/>
      <c r="J624" s="505"/>
      <c r="K624" s="505"/>
      <c r="L624" s="505"/>
      <c r="M624" s="505"/>
      <c r="N624" s="505"/>
      <c r="O624" s="505"/>
      <c r="P624" s="1"/>
      <c r="T624" s="110"/>
      <c r="U624" s="520" t="s">
        <v>109</v>
      </c>
      <c r="V624" s="520"/>
      <c r="W624" s="520"/>
      <c r="X624" s="520"/>
      <c r="Y624" s="520"/>
      <c r="Z624" s="139"/>
      <c r="AA624" s="145"/>
      <c r="AB624" s="194">
        <f>IFERROR(IF(Annexes!O27&gt;'Mon Entreprise'!K8,1-'Mon Entreprise'!M98/'Mon Entreprise'!I98,0),0)</f>
        <v>0</v>
      </c>
      <c r="AC624" s="1"/>
      <c r="AD624" s="1"/>
      <c r="AE624" s="13"/>
    </row>
    <row r="625" spans="1:31" ht="16.5" hidden="1" customHeight="1">
      <c r="B625" s="103"/>
      <c r="C625" s="505"/>
      <c r="D625" s="505"/>
      <c r="E625" s="505"/>
      <c r="F625" s="505"/>
      <c r="G625" s="505"/>
      <c r="H625" s="505"/>
      <c r="I625" s="505"/>
      <c r="J625" s="505"/>
      <c r="K625" s="505"/>
      <c r="L625" s="505"/>
      <c r="M625" s="505"/>
      <c r="N625" s="505"/>
      <c r="O625" s="505"/>
      <c r="P625" s="1"/>
      <c r="T625" s="110"/>
      <c r="U625" s="368"/>
      <c r="V625" s="368"/>
      <c r="W625" s="368"/>
      <c r="X625" s="368"/>
      <c r="Y625" s="368"/>
      <c r="Z625" s="139"/>
      <c r="AA625" s="145"/>
      <c r="AB625" s="194"/>
      <c r="AC625" s="1"/>
      <c r="AD625" s="1"/>
      <c r="AE625" s="13"/>
    </row>
    <row r="626" spans="1:31" ht="16.5" hidden="1" customHeight="1">
      <c r="B626" s="103"/>
      <c r="C626" s="505"/>
      <c r="D626" s="505"/>
      <c r="E626" s="505"/>
      <c r="F626" s="505"/>
      <c r="G626" s="505"/>
      <c r="H626" s="505"/>
      <c r="I626" s="505"/>
      <c r="J626" s="505"/>
      <c r="K626" s="505"/>
      <c r="L626" s="505"/>
      <c r="M626" s="505"/>
      <c r="N626" s="505"/>
      <c r="O626" s="505"/>
      <c r="P626" s="1"/>
      <c r="T626" s="110"/>
      <c r="U626" s="362"/>
      <c r="V626" s="362"/>
      <c r="W626" s="362"/>
      <c r="X626" s="362"/>
      <c r="Y626" s="362"/>
      <c r="Z626" s="139"/>
      <c r="AA626" s="145"/>
      <c r="AB626" s="194"/>
      <c r="AC626" s="1"/>
      <c r="AD626" s="1"/>
      <c r="AE626" s="13"/>
    </row>
    <row r="627" spans="1:31" ht="16.5" hidden="1" customHeight="1">
      <c r="B627" s="103"/>
      <c r="C627" s="505"/>
      <c r="D627" s="505"/>
      <c r="E627" s="505"/>
      <c r="F627" s="505"/>
      <c r="G627" s="505"/>
      <c r="H627" s="505"/>
      <c r="I627" s="505"/>
      <c r="J627" s="505"/>
      <c r="K627" s="505"/>
      <c r="L627" s="505"/>
      <c r="M627" s="505"/>
      <c r="N627" s="505"/>
      <c r="O627" s="505"/>
      <c r="P627" s="1"/>
      <c r="T627" s="14"/>
      <c r="U627" s="521" t="s">
        <v>8</v>
      </c>
      <c r="V627" s="521"/>
      <c r="W627" s="521"/>
      <c r="X627" s="521"/>
      <c r="Y627" s="521"/>
      <c r="Z627" s="1"/>
      <c r="AA627" s="14"/>
      <c r="AB627" s="358" t="str">
        <f>IF((AND(Annexes!F5&gt;1,Annexes!F5&lt;=Annexes!H6,AB634&gt;=0.1)),"OUI","NON")</f>
        <v>NON</v>
      </c>
      <c r="AC627" s="1"/>
      <c r="AD627" s="1"/>
      <c r="AE627" s="13"/>
    </row>
    <row r="628" spans="1:31" ht="22.5" hidden="1" customHeight="1">
      <c r="B628" s="103"/>
      <c r="D628" s="564" t="s">
        <v>513</v>
      </c>
      <c r="E628" s="564"/>
      <c r="F628" s="564"/>
      <c r="G628" s="564"/>
      <c r="H628" s="564"/>
      <c r="I628" s="564"/>
      <c r="J628" s="564"/>
      <c r="K628" s="564"/>
      <c r="L628" s="564"/>
      <c r="M628" s="564"/>
      <c r="N628" s="564"/>
      <c r="O628" s="564"/>
      <c r="P628" s="1"/>
      <c r="T628" s="14"/>
      <c r="U628" s="363"/>
      <c r="V628" s="363"/>
      <c r="W628" s="363"/>
      <c r="X628" s="363"/>
      <c r="Y628" s="363" t="s">
        <v>9</v>
      </c>
      <c r="Z628" s="1"/>
      <c r="AA628" s="14"/>
      <c r="AB628" s="358" t="str">
        <f>IF(AND(Annexes!F7&gt;1,Annexes!F7&lt;=Annexes!H8,AB634&gt;=0.1),"OUI","NON")</f>
        <v>NON</v>
      </c>
      <c r="AC628" s="1"/>
      <c r="AD628" s="1"/>
      <c r="AE628" s="13"/>
    </row>
    <row r="629" spans="1:31" ht="16.5" hidden="1" customHeight="1">
      <c r="B629" s="103"/>
      <c r="C629" s="357"/>
      <c r="D629" s="306"/>
      <c r="E629" s="522" t="str">
        <f>IF(AB632="NON","",IF(OR(AB627="OUI",AB629="OUI",AND(AB628="OUI",OR(AB622&gt;=Annexes!P5,AB623&gt;=Annexes!P5,'Mes Aides'!AB145&gt;=0.1))),"",IF(AND(AB628="OUI",OR(AB622&lt;Annexes!P5,AB623&lt;Annexes!P5,'Mes Aides'!AB198&lt;0.1)),"L'entreprise fait partie des entreprises mentionnées en annexe 2 du décret mais n'a pas eu une perte de CA d'au-Moins 80 %, entre le 15/03/2020 et le 15/05/2020 ou Novembre 2020 ou 10 % entre 2019 et 2020","L'entreprise ne fait pas partie des activités mentionnées aux annexes 1, 2 ou domicilé dans une des îles d'outre-mer.")))</f>
        <v>L'entreprise ne fait pas partie des activités mentionnées aux annexes 1, 2 ou domicilé dans une des îles d'outre-mer.</v>
      </c>
      <c r="F629" s="522"/>
      <c r="G629" s="522"/>
      <c r="H629" s="522"/>
      <c r="I629" s="522"/>
      <c r="J629" s="522"/>
      <c r="K629" s="522"/>
      <c r="L629" s="522"/>
      <c r="M629" s="522"/>
      <c r="N629" s="522"/>
      <c r="O629" s="522"/>
      <c r="P629" s="1"/>
      <c r="T629" s="491" t="s">
        <v>474</v>
      </c>
      <c r="U629" s="490"/>
      <c r="V629" s="490"/>
      <c r="W629" s="490"/>
      <c r="X629" s="490"/>
      <c r="Y629" s="490"/>
      <c r="Z629" s="1"/>
      <c r="AA629" s="14"/>
      <c r="AB629" s="358" t="str">
        <f>IF(AND(Annexes!M24=TRUE,AB634&gt;=0.1),"OUI","NON")</f>
        <v>NON</v>
      </c>
      <c r="AC629" s="1"/>
      <c r="AD629" s="1"/>
      <c r="AE629" s="13"/>
    </row>
    <row r="630" spans="1:31" ht="16.5" hidden="1" customHeight="1">
      <c r="B630" s="103"/>
      <c r="C630" s="357"/>
      <c r="D630" s="306"/>
      <c r="E630" s="522"/>
      <c r="F630" s="522"/>
      <c r="G630" s="522"/>
      <c r="H630" s="522"/>
      <c r="I630" s="522"/>
      <c r="J630" s="522"/>
      <c r="K630" s="522"/>
      <c r="L630" s="522"/>
      <c r="M630" s="522"/>
      <c r="N630" s="522"/>
      <c r="O630" s="522"/>
      <c r="P630" s="1"/>
      <c r="T630" s="491" t="s">
        <v>509</v>
      </c>
      <c r="U630" s="490"/>
      <c r="V630" s="490"/>
      <c r="W630" s="490"/>
      <c r="X630" s="490"/>
      <c r="Y630" s="490"/>
      <c r="Z630" s="1"/>
      <c r="AA630" s="14"/>
      <c r="AB630" s="358" t="b">
        <f>IF(OR(AND(Annexes!M41=TRUE,AB634&gt;=0.2),AND(Annexes!M42=TRUE,AB634&gt;=0.5)),TRUE,FALSE)</f>
        <v>0</v>
      </c>
      <c r="AC630" s="1"/>
      <c r="AD630" s="1"/>
      <c r="AE630" s="13"/>
    </row>
    <row r="631" spans="1:31" ht="16.5" hidden="1" customHeight="1">
      <c r="A631" s="99"/>
      <c r="B631" s="103"/>
      <c r="C631" s="357"/>
      <c r="D631" s="523" t="str">
        <f>IFERROR(IF('Mon Entreprise'!K8&gt;=Annexes!O20,IF(AB600&gt;=AB602,"- Le CA de référence est celui d'Août 2019, soit une perte de "&amp;ROUND(AB600,0)&amp;" €"&amp;" ==&gt; "&amp;ROUND(AE600*100,0)&amp;" %","- Le CA de référence est celui de la création, soit une perte de "&amp;ROUND(AB602,0)&amp;" €"&amp;" ==&gt; "&amp;ROUND(AE602*100,0)&amp;" %"),IF(AB600&gt;=AB601,"- Le CA de référence est celui d'Août 2019, soit une perte de "&amp;ROUND(AB600,0)&amp;" €"&amp;" ==&gt; "&amp;ROUND(AE600*100,0)&amp;" %","- Le CA de référence est celui de l'exercice 2019, soit une perte de "&amp;ROUND(AB601,0)&amp;" €"&amp;" ==&gt; "&amp;ROUND(AE601*100,0)&amp;" %")),"")</f>
        <v>- Le CA de référence est celui d'Août 2019, soit une perte de 0 € ==&gt; 0 %</v>
      </c>
      <c r="E631" s="523"/>
      <c r="F631" s="523"/>
      <c r="G631" s="523"/>
      <c r="H631" s="523"/>
      <c r="I631" s="523"/>
      <c r="J631" s="523"/>
      <c r="K631" s="523"/>
      <c r="L631" s="523"/>
      <c r="M631" s="523"/>
      <c r="N631" s="523"/>
      <c r="O631" s="523"/>
      <c r="P631" s="1"/>
      <c r="T631" s="14"/>
      <c r="U631" s="358"/>
      <c r="V631" s="358"/>
      <c r="W631" s="358"/>
      <c r="X631" s="358"/>
      <c r="Y631" s="358" t="s">
        <v>505</v>
      </c>
      <c r="Z631" s="1"/>
      <c r="AA631" s="14"/>
      <c r="AB631" s="358" t="b">
        <f>IF(AND(Annexes!M43=TRUE,AB634&gt;=0.2),TRUE,FALSE)</f>
        <v>0</v>
      </c>
      <c r="AC631" s="1"/>
      <c r="AD631" s="1"/>
      <c r="AE631" s="13"/>
    </row>
    <row r="632" spans="1:31" ht="16.5" hidden="1" customHeight="1">
      <c r="A632" s="99"/>
      <c r="B632" s="103"/>
      <c r="C632" s="357"/>
      <c r="D632" s="524" t="str">
        <f>IFERROR(IF('Mon Entreprise'!K8&gt;=Annexes!O20,"",IF(AB600&lt;AB601,"A noter qu'il convient de choisir l'option retenue par l'entreprise lors de sa demande au titre du mois Février ou a défaut celui du mois de Mars, Avril, Mai, Juin ou Juillet 2021, si le CA de référence était celui de février (...) 2019,"&amp;" il convient de prendre celui d'Août 2019, soit "&amp;ROUND(AB600,0)&amp;" €"&amp;" ==&gt; "&amp;ROUND(AE600*100,0)&amp;" %","A noter qu'il convient de choisir l'option retenue par l'entreprise lors de sa demande"&amp;" au titre du mois Février  ou a défaut celui du mois de Mars, Avril, Mai, Juin ou Juillet 2021, si le CA de référence était celui de l'exercice 2019, il convient de prendre celui de l'exercie 2019, soit une perte de "&amp;ROUND(AB601,0)&amp;" €"&amp;" ==&gt; "&amp;ROUND(AE601*100,0)&amp;" %")),"")</f>
        <v>A noter qu'il convient de choisir l'option retenue par l'entreprise lors de sa demande au titre du mois Février  ou a défaut celui du mois de Mars, Avril, Mai, Juin ou Juillet 2021, si le CA de référence était celui de l'exercice 2019, il convient de prendre celui de l'exercie 2019, soit une perte de 0 € ==&gt; 0 %</v>
      </c>
      <c r="E632" s="524"/>
      <c r="F632" s="524"/>
      <c r="G632" s="524"/>
      <c r="H632" s="524"/>
      <c r="I632" s="524"/>
      <c r="J632" s="524"/>
      <c r="K632" s="524"/>
      <c r="L632" s="524"/>
      <c r="M632" s="524"/>
      <c r="N632" s="524"/>
      <c r="O632" s="524"/>
      <c r="P632" s="1"/>
      <c r="T632" s="14"/>
      <c r="U632" s="525" t="s">
        <v>72</v>
      </c>
      <c r="V632" s="525"/>
      <c r="W632" s="525"/>
      <c r="X632" s="525"/>
      <c r="Y632" s="525"/>
      <c r="Z632" s="139"/>
      <c r="AA632" s="145"/>
      <c r="AB632" s="360" t="str">
        <f>IF(AB612="Oui","Oui","Non")</f>
        <v>Oui</v>
      </c>
      <c r="AC632" s="139"/>
      <c r="AD632" s="1"/>
      <c r="AE632" s="13"/>
    </row>
    <row r="633" spans="1:31" ht="16.5" hidden="1" customHeight="1">
      <c r="A633" s="99"/>
      <c r="B633" s="103"/>
      <c r="C633" s="357"/>
      <c r="D633" s="524"/>
      <c r="E633" s="524"/>
      <c r="F633" s="524"/>
      <c r="G633" s="524"/>
      <c r="H633" s="524"/>
      <c r="I633" s="524"/>
      <c r="J633" s="524"/>
      <c r="K633" s="524"/>
      <c r="L633" s="524"/>
      <c r="M633" s="524"/>
      <c r="N633" s="524"/>
      <c r="O633" s="524"/>
      <c r="P633" s="1"/>
      <c r="T633" s="14"/>
      <c r="U633" s="525" t="s">
        <v>84</v>
      </c>
      <c r="V633" s="525"/>
      <c r="W633" s="525"/>
      <c r="X633" s="525"/>
      <c r="Y633" s="525"/>
      <c r="Z633" s="139"/>
      <c r="AA633" s="145"/>
      <c r="AB633" s="360">
        <f>IF('Mon Entreprise'!K8&gt;=Annexes!O20,IF(AB600&gt;=AB602,AB600,AB602),IF(AB600&gt;=AB601,AB600,AB601))</f>
        <v>0</v>
      </c>
      <c r="AC633" s="139"/>
      <c r="AD633" s="1"/>
      <c r="AE633" s="13"/>
    </row>
    <row r="634" spans="1:31" ht="16.5" hidden="1" customHeight="1">
      <c r="B634" s="103"/>
      <c r="C634" s="357"/>
      <c r="D634" s="215"/>
      <c r="E634" s="356"/>
      <c r="F634" s="356"/>
      <c r="G634" s="356"/>
      <c r="H634" s="356"/>
      <c r="I634" s="356"/>
      <c r="J634" s="356"/>
      <c r="K634" s="356"/>
      <c r="L634" s="356"/>
      <c r="M634" s="356"/>
      <c r="N634" s="356"/>
      <c r="O634" s="356"/>
      <c r="P634" s="1"/>
      <c r="T634" s="14"/>
      <c r="U634" s="525" t="s">
        <v>85</v>
      </c>
      <c r="V634" s="525"/>
      <c r="W634" s="525"/>
      <c r="X634" s="525"/>
      <c r="Y634" s="525"/>
      <c r="Z634" s="139"/>
      <c r="AA634" s="145"/>
      <c r="AB634" s="360">
        <f>IF('Mon Entreprise'!K8&gt;=Annexes!O20,IF(AB600&gt;=AB602,AE600,AE602),IF(AB600&gt;=AB601,AE600,AE601))</f>
        <v>0</v>
      </c>
      <c r="AC634" s="139"/>
      <c r="AD634" s="1"/>
      <c r="AE634" s="13"/>
    </row>
    <row r="635" spans="1:31" ht="16.5" hidden="1" customHeight="1" thickBot="1">
      <c r="B635" s="103"/>
      <c r="C635" s="357"/>
      <c r="D635" s="356"/>
      <c r="E635" s="356"/>
      <c r="F635" s="356"/>
      <c r="G635" s="356"/>
      <c r="H635" s="356"/>
      <c r="I635" s="356"/>
      <c r="J635" s="356"/>
      <c r="K635" s="356"/>
      <c r="L635" s="356"/>
      <c r="M635" s="356"/>
      <c r="N635" s="356"/>
      <c r="O635" s="356"/>
      <c r="P635" s="1"/>
      <c r="T635" s="14"/>
      <c r="U635" s="502" t="s">
        <v>74</v>
      </c>
      <c r="V635" s="502"/>
      <c r="W635" s="502"/>
      <c r="X635" s="502"/>
      <c r="Y635" s="502"/>
      <c r="Z635" s="139"/>
      <c r="AA635" s="145"/>
      <c r="AB635" s="360">
        <v>1</v>
      </c>
      <c r="AC635" s="139"/>
      <c r="AD635" s="1"/>
      <c r="AE635" s="13"/>
    </row>
    <row r="636" spans="1:31" ht="16.5" hidden="1" customHeight="1">
      <c r="B636" s="103"/>
      <c r="C636" s="357"/>
      <c r="D636" s="527" t="str">
        <f>IFERROR(IF(AB632="NON","Vous avez débuté votre activité après le 31 Janvier 2020, vous ne pouvez donc pas bénéficier de cette aide",IF(OR(AB627="OUI",AB629="OUI",AND(AB628="OUI",OR(AB622&lt;Annexes!P5,AB623&lt;Annexes!P5,'Mes Aides'!AB198&lt;0.1))),IF(AND(0.2*AB637&gt;Annexes!O8,0.2*AB636&gt;Annexes!O8),"Dans votre cas, l'aide est plafonnée, à "&amp;Annexes!O8&amp;" € pour le mois d'Août",IF(0.2*AB637&gt;=0.2*AB636,"Dans votre cas, 20 % de la perte est supérieur à 20 % du CA, l'aide est donc plafonnée à 20 % du CA, soit "&amp;ROUND(0.2*AB636,0)&amp;" € pour le mois d'Août","Dans votre cas, 20% de la perte est inférieure à 20 % du CA, l'aide est donc plafonnée à 20 % de la perte, soit "&amp;ROUND(0.2*AB637,0)&amp;" € pour le mois d'Août")),"Vous ne faites pas partie des entreprises ayant leur activité mentionnée en annexe 1, ou en annexe 2, avec une perte de CA "&amp;"d'au moins 80 % entre le 15/03/2020 et le 15/05/2020 ou au mois de Novembre 2020 ou une perte de 10 % entre 2019 et 2020, ou domicilié dans les îles d'outre-mer")),"Vous n'avez pas indiqué de chiffre d'affaires de référence")</f>
        <v>Vous ne faites pas partie des entreprises ayant leur activité mentionnée en annexe 1, ou en annexe 2, avec une perte de CA d'au moins 80 % entre le 15/03/2020 et le 15/05/2020 ou au mois de Novembre 2020 ou une perte de 10 % entre 2019 et 2020, ou domicilié dans les îles d'outre-mer</v>
      </c>
      <c r="E636" s="509"/>
      <c r="F636" s="509"/>
      <c r="G636" s="509"/>
      <c r="H636" s="509"/>
      <c r="I636" s="509"/>
      <c r="J636" s="509"/>
      <c r="K636" s="509"/>
      <c r="L636" s="509"/>
      <c r="M636" s="509"/>
      <c r="N636" s="509"/>
      <c r="O636" s="510"/>
      <c r="P636" s="1"/>
      <c r="T636" s="14"/>
      <c r="U636" s="502" t="s">
        <v>80</v>
      </c>
      <c r="V636" s="502"/>
      <c r="W636" s="502"/>
      <c r="X636" s="502"/>
      <c r="Y636" s="502"/>
      <c r="Z636" s="139"/>
      <c r="AA636" s="145"/>
      <c r="AB636" s="360">
        <f>IF('Mon Entreprise'!K8&gt;=Annexes!O20,IF(AB600&gt;=AB602,Y600,Y602),IF(AB600&gt;=AB601,Y600,Y601))</f>
        <v>0</v>
      </c>
      <c r="AC636" s="139"/>
      <c r="AD636" s="1"/>
      <c r="AE636" s="13"/>
    </row>
    <row r="637" spans="1:31" ht="16.5" hidden="1" customHeight="1">
      <c r="B637" s="173"/>
      <c r="C637" s="357"/>
      <c r="D637" s="511"/>
      <c r="E637" s="512"/>
      <c r="F637" s="512"/>
      <c r="G637" s="512"/>
      <c r="H637" s="512"/>
      <c r="I637" s="512"/>
      <c r="J637" s="512"/>
      <c r="K637" s="512"/>
      <c r="L637" s="512"/>
      <c r="M637" s="512"/>
      <c r="N637" s="512"/>
      <c r="O637" s="513"/>
      <c r="P637" s="1"/>
      <c r="T637" s="14"/>
      <c r="U637" s="490" t="s">
        <v>104</v>
      </c>
      <c r="V637" s="490"/>
      <c r="W637" s="490"/>
      <c r="X637" s="490"/>
      <c r="Y637" s="490"/>
      <c r="Z637" s="1"/>
      <c r="AA637" s="14"/>
      <c r="AB637" s="358">
        <f>IF(AB635=1,AB633,IF(AB633*AB635&gt;1500,IF(AB633&gt;1500,AB633*AB635,"Impossible"),IF(AB633&lt;1500,AB633,1500)))</f>
        <v>0</v>
      </c>
      <c r="AC637" s="1"/>
      <c r="AD637" s="1"/>
      <c r="AE637" s="13"/>
    </row>
    <row r="638" spans="1:31" ht="16.5" hidden="1" customHeight="1">
      <c r="B638" s="103"/>
      <c r="C638" s="357"/>
      <c r="D638" s="511"/>
      <c r="E638" s="512"/>
      <c r="F638" s="512"/>
      <c r="G638" s="512"/>
      <c r="H638" s="512"/>
      <c r="I638" s="512"/>
      <c r="J638" s="512"/>
      <c r="K638" s="512"/>
      <c r="L638" s="512"/>
      <c r="M638" s="512"/>
      <c r="N638" s="512"/>
      <c r="O638" s="513"/>
      <c r="P638" s="1"/>
      <c r="T638" s="14"/>
      <c r="U638" s="358"/>
      <c r="V638" s="358"/>
      <c r="W638" s="358"/>
      <c r="X638" s="358"/>
      <c r="Y638" s="358"/>
      <c r="Z638" s="1"/>
      <c r="AA638" s="1"/>
      <c r="AB638" s="1"/>
      <c r="AC638" s="1"/>
      <c r="AD638" s="1"/>
      <c r="AE638" s="13"/>
    </row>
    <row r="639" spans="1:31" ht="16.5" hidden="1" customHeight="1" thickBot="1">
      <c r="B639" s="103"/>
      <c r="C639" s="357"/>
      <c r="D639" s="514"/>
      <c r="E639" s="515"/>
      <c r="F639" s="515"/>
      <c r="G639" s="515"/>
      <c r="H639" s="515"/>
      <c r="I639" s="515"/>
      <c r="J639" s="515"/>
      <c r="K639" s="515"/>
      <c r="L639" s="515"/>
      <c r="M639" s="515"/>
      <c r="N639" s="515"/>
      <c r="O639" s="516"/>
      <c r="P639" s="1"/>
      <c r="T639" s="14"/>
      <c r="U639" s="490"/>
      <c r="V639" s="490"/>
      <c r="W639" s="490"/>
      <c r="X639" s="490"/>
      <c r="Y639" s="490"/>
      <c r="Z639" s="1"/>
      <c r="AA639" s="1"/>
      <c r="AB639" s="1"/>
      <c r="AC639" s="1"/>
      <c r="AD639" s="1"/>
      <c r="AE639" s="13"/>
    </row>
    <row r="640" spans="1:31" ht="16.5" hidden="1" customHeight="1">
      <c r="B640" s="103"/>
      <c r="C640" s="372"/>
      <c r="D640" s="565" t="s">
        <v>528</v>
      </c>
      <c r="E640" s="565"/>
      <c r="F640" s="565"/>
      <c r="G640" s="565"/>
      <c r="H640" s="565"/>
      <c r="I640" s="565"/>
      <c r="J640" s="565"/>
      <c r="K640" s="565"/>
      <c r="L640" s="565"/>
      <c r="M640" s="565"/>
      <c r="N640" s="565"/>
      <c r="O640" s="565"/>
      <c r="P640" s="1"/>
      <c r="T640" s="14"/>
      <c r="U640" s="367"/>
      <c r="V640" s="367"/>
      <c r="W640" s="367"/>
      <c r="X640" s="367"/>
      <c r="Y640" s="367"/>
      <c r="Z640" s="1"/>
      <c r="AA640" s="1"/>
      <c r="AB640" s="1"/>
      <c r="AC640" s="1"/>
      <c r="AD640" s="1"/>
      <c r="AE640" s="13"/>
    </row>
    <row r="641" spans="2:31" ht="16.5" hidden="1" customHeight="1">
      <c r="B641" s="103"/>
      <c r="C641" s="169"/>
      <c r="D641" s="174"/>
      <c r="E641" s="174"/>
      <c r="F641" s="174"/>
      <c r="G641" s="174"/>
      <c r="H641" s="174"/>
      <c r="I641" s="174"/>
      <c r="J641" s="174"/>
      <c r="K641" s="174"/>
      <c r="L641" s="174"/>
      <c r="M641" s="174"/>
      <c r="N641" s="174"/>
      <c r="O641" s="174"/>
      <c r="P641" s="1"/>
      <c r="T641" s="14"/>
      <c r="U641" s="358"/>
      <c r="V641" s="358"/>
      <c r="W641" s="358"/>
      <c r="X641" s="358"/>
      <c r="Y641" s="358"/>
      <c r="Z641" s="1"/>
      <c r="AA641" s="1"/>
      <c r="AB641" s="1"/>
      <c r="AC641" s="1"/>
      <c r="AD641" s="1"/>
      <c r="AE641" s="13"/>
    </row>
    <row r="642" spans="2:31" ht="16.5" hidden="1" customHeight="1">
      <c r="B642" s="103"/>
      <c r="C642" s="357"/>
      <c r="D642" s="356"/>
      <c r="E642" s="356"/>
      <c r="F642" s="356"/>
      <c r="G642" s="356"/>
      <c r="H642" s="356"/>
      <c r="I642" s="356"/>
      <c r="J642" s="356"/>
      <c r="K642" s="356"/>
      <c r="L642" s="356"/>
      <c r="M642" s="356"/>
      <c r="N642" s="356"/>
      <c r="O642" s="356"/>
      <c r="P642" s="1"/>
      <c r="T642" s="14"/>
      <c r="U642" s="1"/>
      <c r="V642" s="1"/>
      <c r="W642" s="1"/>
      <c r="X642" s="1"/>
      <c r="Y642" s="1"/>
      <c r="Z642" s="1"/>
      <c r="AA642" s="1"/>
      <c r="AB642" s="1"/>
      <c r="AC642" s="1"/>
      <c r="AD642" s="1"/>
      <c r="AE642" s="13"/>
    </row>
    <row r="643" spans="2:31" ht="16.5" hidden="1" customHeight="1">
      <c r="B643" s="103"/>
      <c r="C643" s="529" t="s">
        <v>511</v>
      </c>
      <c r="D643" s="529"/>
      <c r="E643" s="529"/>
      <c r="F643" s="529"/>
      <c r="G643" s="529"/>
      <c r="H643" s="529"/>
      <c r="I643" s="529"/>
      <c r="J643" s="529"/>
      <c r="K643" s="529"/>
      <c r="L643" s="529"/>
      <c r="M643" s="529"/>
      <c r="N643" s="529"/>
      <c r="O643" s="529"/>
      <c r="P643" s="1"/>
      <c r="T643" s="14"/>
      <c r="U643" s="1"/>
      <c r="V643" s="1"/>
      <c r="W643" s="1"/>
      <c r="X643" s="1"/>
      <c r="Y643" s="1"/>
      <c r="Z643" s="1"/>
      <c r="AA643" s="1"/>
      <c r="AB643" s="1"/>
      <c r="AC643" s="1"/>
      <c r="AD643" s="1"/>
      <c r="AE643" s="13"/>
    </row>
    <row r="644" spans="2:31" ht="16.5" hidden="1" customHeight="1">
      <c r="B644" s="103"/>
      <c r="C644" s="529"/>
      <c r="D644" s="529"/>
      <c r="E644" s="529"/>
      <c r="F644" s="529"/>
      <c r="G644" s="529"/>
      <c r="H644" s="529"/>
      <c r="I644" s="529"/>
      <c r="J644" s="529"/>
      <c r="K644" s="529"/>
      <c r="L644" s="529"/>
      <c r="M644" s="529"/>
      <c r="N644" s="529"/>
      <c r="O644" s="529"/>
      <c r="P644" s="1"/>
      <c r="T644" s="14"/>
      <c r="U644" s="1"/>
      <c r="V644" s="1"/>
      <c r="W644" s="1"/>
      <c r="X644" s="1"/>
      <c r="Y644" s="1"/>
      <c r="Z644" s="1"/>
      <c r="AA644" s="1"/>
      <c r="AB644" s="1"/>
      <c r="AC644" s="1"/>
      <c r="AD644" s="1"/>
      <c r="AE644" s="13"/>
    </row>
    <row r="645" spans="2:31" ht="16.5" hidden="1" customHeight="1">
      <c r="B645" s="173"/>
      <c r="C645" s="357"/>
      <c r="D645" s="306"/>
      <c r="E645" s="528" t="str">
        <f>IF(AB632="NON","",IF(AB630=TRUE,"","L'entreprise n'a pas été en fermeture Administrative avec 20 % de perte de CA ou fermeture Administrative de 21 jours avec 50 % de perte  de CA"))</f>
        <v>L'entreprise n'a pas été en fermeture Administrative avec 20 % de perte de CA ou fermeture Administrative de 21 jours avec 50 % de perte  de CA</v>
      </c>
      <c r="F645" s="528"/>
      <c r="G645" s="528"/>
      <c r="H645" s="528"/>
      <c r="I645" s="528"/>
      <c r="J645" s="528"/>
      <c r="K645" s="528"/>
      <c r="L645" s="528"/>
      <c r="M645" s="528"/>
      <c r="N645" s="528"/>
      <c r="O645" s="528"/>
      <c r="P645" s="1"/>
      <c r="T645" s="14"/>
      <c r="U645" s="502" t="s">
        <v>82</v>
      </c>
      <c r="V645" s="502"/>
      <c r="W645" s="502"/>
      <c r="X645" s="502"/>
      <c r="Y645" s="502"/>
      <c r="Z645" s="68"/>
      <c r="AA645" s="1"/>
      <c r="AB645" s="1">
        <f>IFERROR(IF(AB612="Non",0,IF(AND(AB631=TRUE,AB615&gt;=0.2),IF(AB614&gt;Annexes!O5,Annexes!O5,ROUND(AB614,0)),0)),0)</f>
        <v>0</v>
      </c>
      <c r="AC645" s="1"/>
      <c r="AD645" s="1"/>
      <c r="AE645" s="13"/>
    </row>
    <row r="646" spans="2:31" ht="16.5" hidden="1" customHeight="1">
      <c r="B646" s="173"/>
      <c r="C646" s="357"/>
      <c r="D646" s="306"/>
      <c r="E646" s="528"/>
      <c r="F646" s="528"/>
      <c r="G646" s="528"/>
      <c r="H646" s="528"/>
      <c r="I646" s="528"/>
      <c r="J646" s="528"/>
      <c r="K646" s="528"/>
      <c r="L646" s="528"/>
      <c r="M646" s="528"/>
      <c r="N646" s="528"/>
      <c r="O646" s="528"/>
      <c r="P646" s="1"/>
      <c r="T646" s="14"/>
      <c r="U646" s="502" t="s">
        <v>478</v>
      </c>
      <c r="V646" s="502"/>
      <c r="W646" s="502"/>
      <c r="X646" s="502"/>
      <c r="Y646" s="502"/>
      <c r="Z646" s="68"/>
      <c r="AA646" s="1"/>
      <c r="AB646" s="1">
        <f>IFERROR(IF(AB632="NON",0,IF(OR(AB627="OUI",AB629="OUI",AND(AB628="OUI",OR(AB622&lt;Annexes!P5,AB623&lt;Annexes!P5,'Mes Aides'!AB198&lt;0.1))),IF(AND(0.2*AB637,0.2*AB636)&lt;Annexes!O8,Annexes!O8,IF(0.2*AB637&gt;=0.2*AB636,ROUND(0.2*AB636,0),ROUND(0.2*AB637,0))),0)),0)</f>
        <v>0</v>
      </c>
      <c r="AC646" s="1"/>
      <c r="AD646" s="1"/>
      <c r="AE646" s="13"/>
    </row>
    <row r="647" spans="2:31" ht="15" hidden="1" customHeight="1">
      <c r="B647" s="173"/>
      <c r="C647" s="357"/>
      <c r="D647" s="306"/>
      <c r="E647" s="353"/>
      <c r="F647" s="353"/>
      <c r="G647" s="353"/>
      <c r="H647" s="353"/>
      <c r="I647" s="353"/>
      <c r="J647" s="353"/>
      <c r="K647" s="353"/>
      <c r="L647" s="353"/>
      <c r="M647" s="353"/>
      <c r="N647" s="353"/>
      <c r="O647" s="353"/>
      <c r="P647" s="1"/>
      <c r="T647" s="14"/>
      <c r="U647" s="502" t="s">
        <v>478</v>
      </c>
      <c r="V647" s="502"/>
      <c r="W647" s="502"/>
      <c r="X647" s="502"/>
      <c r="Y647" s="502"/>
      <c r="Z647" s="68"/>
      <c r="AA647" s="1"/>
      <c r="AB647" s="1">
        <f>IFERROR(IF(AB632="NON",0,IF(AB630=TRUE,IF(AB636*0.2&gt;Annexes!O8,Annexes!O8,ROUND(AB636*0.2,0)),0)),0)</f>
        <v>0</v>
      </c>
      <c r="AC647" s="1"/>
      <c r="AD647" s="1"/>
      <c r="AE647" s="13"/>
    </row>
    <row r="648" spans="2:31" ht="15" hidden="1" customHeight="1">
      <c r="B648" s="173"/>
      <c r="C648" s="357"/>
      <c r="D648" s="417" t="str">
        <f>IFERROR(IF('Mon Entreprise'!K8&gt;=Annexes!O20,IF(AB600&gt;=AB602,"- Le CA de référence est celui d'Août 2019, soit une perte de "&amp;ROUND(AB600,0)&amp;" €"&amp;" ==&gt; "&amp;ROUND(AE600*100,0)&amp;" %","- Le CA de référence est celui de la création, soit une perte de "&amp;ROUND(AB602,0)&amp;" €"&amp;" ==&gt; "&amp;ROUND(AE602*100,0)&amp;" %"),IF(AB600&gt;=AB601,"- Le CA de référence est celui d'Août 2019, soit une perte de "&amp;ROUND(AB600,0)&amp;" €"&amp;" ==&gt; "&amp;ROUND(AE600*100,0)&amp;" %","- Le CA de référence est celui de l'exercice 2019, soit une perte de "&amp;ROUND(AB601,0)&amp;" €"&amp;" ==&gt; "&amp;ROUND(AE601*100,0)&amp;" %")),"")</f>
        <v>- Le CA de référence est celui d'Août 2019, soit une perte de 0 € ==&gt; 0 %</v>
      </c>
      <c r="E648" s="417"/>
      <c r="F648" s="417"/>
      <c r="G648" s="417"/>
      <c r="H648" s="417"/>
      <c r="I648" s="417"/>
      <c r="J648" s="417"/>
      <c r="K648" s="417"/>
      <c r="L648" s="417"/>
      <c r="M648" s="417"/>
      <c r="N648" s="417"/>
      <c r="O648" s="417"/>
      <c r="P648" s="356"/>
      <c r="Q648" s="356"/>
      <c r="T648" s="14"/>
      <c r="U648" s="1"/>
      <c r="V648" s="1"/>
      <c r="W648" s="1"/>
      <c r="X648" s="1"/>
      <c r="Y648" s="1"/>
      <c r="Z648" s="1"/>
      <c r="AA648" s="1"/>
      <c r="AB648" s="1"/>
      <c r="AC648" s="1"/>
      <c r="AD648" s="1"/>
      <c r="AE648" s="13"/>
    </row>
    <row r="649" spans="2:31" ht="16.5" hidden="1" customHeight="1">
      <c r="B649" s="173"/>
      <c r="C649" s="357"/>
      <c r="D649" s="524" t="str">
        <f>IFERROR(IF('Mon Entreprise'!K8&gt;=Annexes!O20,"",IF(AB600&lt;AB601,"A noter qu'il convient de choisir l'option retenue par l'entreprise lors de sa demande au titre du mois Février ou a défaut celui du mois de Mars, Avril, Mai, Juin ou Juillet 2021, si le CA de référence était celui de février (...) 2019, il convient"&amp;" de prendre celui d'Août 2019 (...), soit "&amp;ROUND(AB600,0)&amp;" €"&amp;" ==&gt; "&amp;ROUND(AE600*100,0)&amp;" %","A noter qu'il convient de choisir l'option retenue par l'entreprise lors de sa demande au titre du mois Février "&amp;"ou a défaut celui du mois de Mars, d'Avril, Mai, Juin ou Juillet 2021, si le CA de référence était celui de l'exercice 2019, il convient de prendre celui de l'exercie 2019, soit une perte de "&amp;ROUND(AB601,0)&amp;" €"&amp;" ==&gt; "&amp;ROUND(AE601*100,0)&amp;" %")),"")</f>
        <v>A noter qu'il convient de choisir l'option retenue par l'entreprise lors de sa demande au titre du mois Février ou a défaut celui du mois de Mars, d'Avril, Mai, Juin ou Juillet 2021, si le CA de référence était celui de l'exercice 2019, il convient de prendre celui de l'exercie 2019, soit une perte de 0 € ==&gt; 0 %</v>
      </c>
      <c r="E649" s="524"/>
      <c r="F649" s="524"/>
      <c r="G649" s="524"/>
      <c r="H649" s="524"/>
      <c r="I649" s="524"/>
      <c r="J649" s="524"/>
      <c r="K649" s="524"/>
      <c r="L649" s="524"/>
      <c r="M649" s="524"/>
      <c r="N649" s="524"/>
      <c r="O649" s="524"/>
      <c r="P649" s="356"/>
      <c r="Q649" s="356"/>
      <c r="T649" s="14"/>
      <c r="U649" s="1"/>
      <c r="V649" s="1"/>
      <c r="W649" s="1"/>
      <c r="X649" s="1"/>
      <c r="Y649" s="1"/>
      <c r="Z649" s="1"/>
      <c r="AA649" s="1"/>
      <c r="AB649" s="1"/>
      <c r="AC649" s="1"/>
      <c r="AD649" s="1"/>
      <c r="AE649" s="13"/>
    </row>
    <row r="650" spans="2:31" ht="16.5" hidden="1" customHeight="1">
      <c r="B650" s="173"/>
      <c r="C650" s="357"/>
      <c r="D650" s="524"/>
      <c r="E650" s="524"/>
      <c r="F650" s="524"/>
      <c r="G650" s="524"/>
      <c r="H650" s="524"/>
      <c r="I650" s="524"/>
      <c r="J650" s="524"/>
      <c r="K650" s="524"/>
      <c r="L650" s="524"/>
      <c r="M650" s="524"/>
      <c r="N650" s="524"/>
      <c r="O650" s="524"/>
      <c r="P650" s="356"/>
      <c r="Q650" s="356"/>
      <c r="T650" s="14"/>
      <c r="U650" s="1"/>
      <c r="V650" s="1"/>
      <c r="W650" s="1"/>
      <c r="X650" s="1"/>
      <c r="Y650" s="1"/>
      <c r="Z650" s="1"/>
      <c r="AA650" s="1"/>
      <c r="AB650" s="1"/>
      <c r="AC650" s="1"/>
      <c r="AD650" s="1"/>
      <c r="AE650" s="13"/>
    </row>
    <row r="651" spans="2:31" ht="16.5" hidden="1" customHeight="1" thickBot="1">
      <c r="B651" s="168"/>
      <c r="C651" s="357"/>
      <c r="D651" s="205"/>
      <c r="E651" s="356"/>
      <c r="F651" s="356"/>
      <c r="G651" s="356"/>
      <c r="H651" s="356"/>
      <c r="I651" s="356"/>
      <c r="J651" s="356"/>
      <c r="K651" s="356"/>
      <c r="L651" s="356"/>
      <c r="M651" s="356"/>
      <c r="N651" s="356"/>
      <c r="O651" s="356"/>
      <c r="P651" s="356"/>
      <c r="Q651" s="356"/>
      <c r="T651" s="14"/>
      <c r="U651" s="1"/>
      <c r="V651" s="1"/>
      <c r="W651" s="1"/>
      <c r="X651" s="1"/>
      <c r="Y651" s="1"/>
      <c r="Z651" s="1"/>
      <c r="AA651" s="1"/>
      <c r="AB651" s="1"/>
      <c r="AC651" s="1"/>
      <c r="AD651" s="1"/>
      <c r="AE651" s="13"/>
    </row>
    <row r="652" spans="2:31" ht="16.5" hidden="1" customHeight="1">
      <c r="B652" s="103"/>
      <c r="C652" s="180"/>
      <c r="D652" s="526" t="str">
        <f>IFERROR(IF(AB632="NON","Vous avez débuté votre activité après le 31 Janvier 2020, vous ne pouvez donc pas bénéficier de cette aide",IF(AB630=TRUE,IF(AB636*0.2&gt;Annexes!O8,"Dans votre cas, l'aide est plafonnée, à "&amp;Annexes!O8&amp;" € pour le mois d'Août","Dans votre cas, l'aide est plafonnée à 20 % du CA, soit "&amp;ROUND(AB636*0.2,0)&amp;" € pour le mois d'Août"),"Vous ne faites pas partie des entreprises en fermeture Administrative avec 20 % de perte de CA ou fermeture Administrative avec 20 % de perte de CA ou en fermeture Administrative de 21 jours avec 50 % de perte de CA")),"Vous n'avez pas indiqué de chiffre d'affaires de référence")</f>
        <v>Vous ne faites pas partie des entreprises en fermeture Administrative avec 20 % de perte de CA ou fermeture Administrative avec 20 % de perte de CA ou en fermeture Administrative de 21 jours avec 50 % de perte de CA</v>
      </c>
      <c r="E652" s="509"/>
      <c r="F652" s="509"/>
      <c r="G652" s="509"/>
      <c r="H652" s="509"/>
      <c r="I652" s="509"/>
      <c r="J652" s="509"/>
      <c r="K652" s="509"/>
      <c r="L652" s="509"/>
      <c r="M652" s="509"/>
      <c r="N652" s="509"/>
      <c r="O652" s="510"/>
      <c r="P652" s="356"/>
      <c r="Q652" s="356"/>
      <c r="T652" s="14"/>
      <c r="U652" s="1"/>
      <c r="V652" s="1"/>
      <c r="W652" s="1"/>
      <c r="X652" s="1"/>
      <c r="Y652" s="1"/>
      <c r="Z652" s="1"/>
      <c r="AA652" s="1"/>
      <c r="AB652" s="1"/>
      <c r="AC652" s="1"/>
      <c r="AD652" s="1"/>
      <c r="AE652" s="13"/>
    </row>
    <row r="653" spans="2:31" ht="16.5" hidden="1" customHeight="1">
      <c r="B653" s="103"/>
      <c r="C653" s="180"/>
      <c r="D653" s="511"/>
      <c r="E653" s="512"/>
      <c r="F653" s="512"/>
      <c r="G653" s="512"/>
      <c r="H653" s="512"/>
      <c r="I653" s="512"/>
      <c r="J653" s="512"/>
      <c r="K653" s="512"/>
      <c r="L653" s="512"/>
      <c r="M653" s="512"/>
      <c r="N653" s="512"/>
      <c r="O653" s="513"/>
      <c r="P653" s="356"/>
      <c r="Q653" s="356"/>
      <c r="T653" s="14"/>
      <c r="U653" s="1"/>
      <c r="V653" s="1"/>
      <c r="W653" s="1"/>
      <c r="X653" s="1"/>
      <c r="Y653" s="1"/>
      <c r="Z653" s="1"/>
      <c r="AA653" s="1"/>
      <c r="AB653" s="1"/>
      <c r="AC653" s="1"/>
      <c r="AD653" s="1"/>
      <c r="AE653" s="13"/>
    </row>
    <row r="654" spans="2:31" ht="16.5" hidden="1" customHeight="1">
      <c r="B654" s="103"/>
      <c r="C654" s="180"/>
      <c r="D654" s="511"/>
      <c r="E654" s="512"/>
      <c r="F654" s="512"/>
      <c r="G654" s="512"/>
      <c r="H654" s="512"/>
      <c r="I654" s="512"/>
      <c r="J654" s="512"/>
      <c r="K654" s="512"/>
      <c r="L654" s="512"/>
      <c r="M654" s="512"/>
      <c r="N654" s="512"/>
      <c r="O654" s="513"/>
      <c r="P654" s="175"/>
      <c r="Q654" s="175"/>
      <c r="T654" s="14"/>
      <c r="U654" s="1"/>
      <c r="V654" s="1"/>
      <c r="W654" s="1"/>
      <c r="X654" s="1"/>
      <c r="Y654" s="1"/>
      <c r="Z654" s="1"/>
      <c r="AA654" s="1"/>
      <c r="AB654" s="1"/>
      <c r="AC654" s="1"/>
      <c r="AD654" s="1"/>
      <c r="AE654" s="13"/>
    </row>
    <row r="655" spans="2:31" ht="16.5" hidden="1" customHeight="1" thickBot="1">
      <c r="B655" s="103"/>
      <c r="C655" s="180"/>
      <c r="D655" s="514"/>
      <c r="E655" s="515"/>
      <c r="F655" s="515"/>
      <c r="G655" s="515"/>
      <c r="H655" s="515"/>
      <c r="I655" s="515"/>
      <c r="J655" s="515"/>
      <c r="K655" s="515"/>
      <c r="L655" s="515"/>
      <c r="M655" s="515"/>
      <c r="N655" s="515"/>
      <c r="O655" s="516"/>
      <c r="T655" s="14"/>
      <c r="U655" s="1"/>
      <c r="V655" s="1"/>
      <c r="W655" s="1"/>
      <c r="X655" s="1"/>
      <c r="Y655" s="1"/>
      <c r="Z655" s="1"/>
      <c r="AA655" s="1"/>
      <c r="AB655" s="1"/>
      <c r="AC655" s="1"/>
      <c r="AD655" s="1"/>
      <c r="AE655" s="13"/>
    </row>
    <row r="656" spans="2:31" ht="16.5" hidden="1" customHeight="1">
      <c r="B656" s="5"/>
      <c r="C656" s="5"/>
      <c r="D656" s="354"/>
      <c r="E656" s="354"/>
      <c r="F656" s="354"/>
      <c r="G656" s="354"/>
      <c r="H656" s="354"/>
      <c r="I656" s="354"/>
      <c r="J656" s="354"/>
      <c r="K656" s="354"/>
      <c r="L656" s="354"/>
      <c r="M656" s="354"/>
      <c r="N656" s="354"/>
      <c r="O656" s="354"/>
      <c r="P656" s="177"/>
      <c r="Q656" s="177"/>
      <c r="T656" s="14"/>
      <c r="U656" s="1"/>
      <c r="V656" s="1"/>
      <c r="W656" s="1"/>
      <c r="X656" s="1"/>
      <c r="Y656" s="1"/>
      <c r="Z656" s="1"/>
      <c r="AA656" s="1"/>
      <c r="AB656" s="1"/>
      <c r="AC656" s="1"/>
      <c r="AD656" s="1"/>
      <c r="AE656" s="13"/>
    </row>
    <row r="657" spans="2:31" ht="16.5" customHeight="1">
      <c r="B657" s="5"/>
      <c r="C657" s="5"/>
      <c r="D657" s="355"/>
      <c r="E657" s="355"/>
      <c r="F657" s="355"/>
      <c r="G657" s="355"/>
      <c r="H657" s="355"/>
      <c r="I657" s="355"/>
      <c r="J657" s="355"/>
      <c r="K657" s="355"/>
      <c r="L657" s="355"/>
      <c r="M657" s="355"/>
      <c r="N657" s="355"/>
      <c r="O657" s="355"/>
      <c r="P657" s="177"/>
      <c r="Q657" s="177"/>
      <c r="T657" s="14"/>
      <c r="U657" s="1"/>
      <c r="V657" s="1"/>
      <c r="W657" s="1"/>
      <c r="X657" s="1"/>
      <c r="Y657" s="1"/>
      <c r="Z657" s="1"/>
      <c r="AA657" s="1"/>
      <c r="AB657" s="1"/>
      <c r="AC657" s="1"/>
      <c r="AD657" s="1"/>
      <c r="AE657" s="13"/>
    </row>
    <row r="658" spans="2:31" ht="16.5" thickBot="1">
      <c r="B658" s="220"/>
      <c r="C658" s="488" t="s">
        <v>19</v>
      </c>
      <c r="D658" s="488"/>
      <c r="E658" s="488"/>
      <c r="F658" s="488"/>
      <c r="G658" s="488"/>
      <c r="H658" s="488"/>
      <c r="I658" s="221"/>
      <c r="J658" s="221"/>
      <c r="K658" s="221"/>
      <c r="L658" s="221"/>
      <c r="M658" s="221"/>
      <c r="N658" s="221"/>
      <c r="O658" s="221"/>
      <c r="T658" s="16"/>
      <c r="U658" s="11"/>
      <c r="V658" s="11"/>
      <c r="W658" s="11"/>
      <c r="X658" s="11"/>
      <c r="Y658" s="11"/>
      <c r="Z658" s="11"/>
      <c r="AA658" s="11"/>
      <c r="AB658" s="11"/>
      <c r="AC658" s="11"/>
      <c r="AD658" s="11"/>
      <c r="AE658" s="12"/>
    </row>
    <row r="659" spans="2:31" ht="15" customHeight="1">
      <c r="B659" s="63"/>
      <c r="C659" s="24"/>
      <c r="D659" s="24"/>
      <c r="E659" s="24"/>
      <c r="F659" s="24"/>
      <c r="G659" s="24"/>
      <c r="H659" s="103"/>
      <c r="I659" s="1"/>
      <c r="J659" s="1"/>
      <c r="K659" s="1"/>
      <c r="L659" s="1"/>
      <c r="M659" s="1"/>
      <c r="N659" s="1"/>
      <c r="O659" s="1"/>
      <c r="T659" s="14"/>
      <c r="U659" s="1"/>
      <c r="V659" s="1"/>
      <c r="W659" s="1"/>
      <c r="X659" s="1"/>
      <c r="Y659" s="1"/>
      <c r="Z659" s="1"/>
      <c r="AA659" s="1"/>
      <c r="AB659" s="1"/>
      <c r="AC659" s="1"/>
      <c r="AD659" s="1"/>
      <c r="AE659" s="13"/>
    </row>
    <row r="660" spans="2:31" ht="15" customHeight="1">
      <c r="B660" s="103"/>
      <c r="C660" s="489" t="s">
        <v>521</v>
      </c>
      <c r="D660" s="489"/>
      <c r="E660" s="489"/>
      <c r="F660" s="489"/>
      <c r="G660" s="489"/>
      <c r="H660" s="489"/>
      <c r="I660" s="489"/>
      <c r="J660" s="489"/>
      <c r="K660" s="489"/>
      <c r="L660" s="489"/>
      <c r="M660" s="489"/>
      <c r="N660" s="489"/>
      <c r="O660" s="489"/>
      <c r="P660" s="1"/>
      <c r="T660" s="25"/>
      <c r="U660" s="490" t="s">
        <v>20</v>
      </c>
      <c r="V660" s="490"/>
      <c r="W660" s="490"/>
      <c r="X660" s="1"/>
      <c r="Y660" s="374" t="s">
        <v>6</v>
      </c>
      <c r="Z660" s="374"/>
      <c r="AA660" s="374"/>
      <c r="AB660" s="374" t="s">
        <v>23</v>
      </c>
      <c r="AC660" s="374"/>
      <c r="AD660" s="374"/>
      <c r="AE660" s="26" t="s">
        <v>24</v>
      </c>
    </row>
    <row r="661" spans="2:31" ht="15.75" customHeight="1">
      <c r="B661" s="103"/>
      <c r="C661" s="372"/>
      <c r="D661" s="60" t="s">
        <v>435</v>
      </c>
      <c r="E661" s="372"/>
      <c r="F661" s="372"/>
      <c r="G661" s="372"/>
      <c r="H661" s="372"/>
      <c r="I661" s="372"/>
      <c r="J661" s="372"/>
      <c r="K661" s="372"/>
      <c r="L661" s="372"/>
      <c r="M661" s="372"/>
      <c r="N661" s="372"/>
      <c r="O661" s="372"/>
      <c r="P661" s="1"/>
      <c r="T661" s="25"/>
      <c r="U661" s="374"/>
      <c r="V661" s="374"/>
      <c r="W661" s="374"/>
      <c r="X661" s="1"/>
      <c r="Y661" s="374"/>
      <c r="Z661" s="374"/>
      <c r="AA661" s="374"/>
      <c r="AB661" s="374"/>
      <c r="AC661" s="374"/>
      <c r="AD661" s="374"/>
      <c r="AE661" s="26"/>
    </row>
    <row r="662" spans="2:31" ht="16.5" thickBot="1">
      <c r="B662" s="103"/>
      <c r="C662" s="372"/>
      <c r="D662" s="60"/>
      <c r="E662" s="372"/>
      <c r="F662" s="372"/>
      <c r="G662" s="372"/>
      <c r="H662" s="372"/>
      <c r="I662" s="372"/>
      <c r="J662" s="372"/>
      <c r="K662" s="372"/>
      <c r="L662" s="372"/>
      <c r="M662" s="372"/>
      <c r="N662" s="372"/>
      <c r="O662" s="372"/>
      <c r="P662" s="1"/>
      <c r="T662" s="491" t="s">
        <v>527</v>
      </c>
      <c r="U662" s="490"/>
      <c r="V662" s="490"/>
      <c r="W662" s="490"/>
      <c r="X662" s="1"/>
      <c r="Y662" s="7">
        <f>'Mon Entreprise'!I138</f>
        <v>0</v>
      </c>
      <c r="Z662" s="133"/>
      <c r="AA662" s="21"/>
      <c r="AB662" s="7">
        <f>IF('Mon Entreprise'!I138-'Mon Entreprise'!M138&lt;0,0,'Mon Entreprise'!I138-'Mon Entreprise'!M138)</f>
        <v>0</v>
      </c>
      <c r="AC662" s="13"/>
      <c r="AD662" s="1"/>
      <c r="AE662" s="27">
        <f>IFERROR(1-'Mon Entreprise'!M138/'Mon Entreprise'!I138,0)</f>
        <v>0</v>
      </c>
    </row>
    <row r="663" spans="2:31" ht="15.75">
      <c r="B663" s="103"/>
      <c r="C663" s="372"/>
      <c r="D663" s="492" t="str">
        <f>IFERROR(IF(AND(AB707=0,AB708=0,AB709=0),"Vous ne pouvez pas bénéficier du fonds de solidarité pour le mois de Septembre 2021",IF(AND(AB709&gt;AB708,AB709&gt;AB707),"Votre entreprise peut bénéficier d'une aide de "&amp;AB709&amp;" €, au titre d'une fermeture Administrative avec une perte de 20 % de CA",IF(AB708&gt;AB707,"Votre entreprise peut bénéficier d'une aide de "&amp;AB708&amp;" €, au titre des entreprises ayant leur activité mentionnée en annexe 1, ou en annexe 2, avec une perte de CA "&amp;"d'au moins 80 % entre le 15/03/2020 et le 15/05/2020 ou au mois de Novembre 2020 ou une perte de 10 % entre 2019 et 2020, ou domicilié dans les îles d'outre-mer","Votre entreprise peut bénéficier d'une aide de "&amp;AB707&amp;" €, au titre d'une fermeture administrative d'au moins 10 jours et d'une perte d'au-moins 50 % de votre CA en Septembre 2021"))),"Vous n'avez pas indiqué de chiffre d'affaires de référence")</f>
        <v>Vous ne pouvez pas bénéficier du fonds de solidarité pour le mois de Septembre 2021</v>
      </c>
      <c r="E663" s="493"/>
      <c r="F663" s="493"/>
      <c r="G663" s="493"/>
      <c r="H663" s="493"/>
      <c r="I663" s="493"/>
      <c r="J663" s="493"/>
      <c r="K663" s="493"/>
      <c r="L663" s="493"/>
      <c r="M663" s="493"/>
      <c r="N663" s="493"/>
      <c r="O663" s="494"/>
      <c r="P663" s="1"/>
      <c r="T663" s="491" t="s">
        <v>25</v>
      </c>
      <c r="U663" s="490"/>
      <c r="V663" s="490"/>
      <c r="W663" s="490"/>
      <c r="X663" s="1"/>
      <c r="Y663" s="7">
        <f>'Mon Entreprise'!I98</f>
        <v>0</v>
      </c>
      <c r="Z663" s="133"/>
      <c r="AA663" s="21"/>
      <c r="AB663" s="7">
        <f>IF('Mon Entreprise'!I98-'Mon Entreprise'!M138&lt;0,0,'Mon Entreprise'!I98-'Mon Entreprise'!M138)</f>
        <v>0</v>
      </c>
      <c r="AC663" s="36"/>
      <c r="AD663" s="1"/>
      <c r="AE663" s="27">
        <f>IFERROR(1-'Mon Entreprise'!M138/'Mon Entreprise'!I98,0)</f>
        <v>0</v>
      </c>
    </row>
    <row r="664" spans="2:31" ht="15.75" customHeight="1">
      <c r="B664" s="103"/>
      <c r="C664" s="372"/>
      <c r="D664" s="495"/>
      <c r="E664" s="496"/>
      <c r="F664" s="496"/>
      <c r="G664" s="496"/>
      <c r="H664" s="496"/>
      <c r="I664" s="496"/>
      <c r="J664" s="496"/>
      <c r="K664" s="496"/>
      <c r="L664" s="496"/>
      <c r="M664" s="496"/>
      <c r="N664" s="496"/>
      <c r="O664" s="497"/>
      <c r="P664" s="1"/>
      <c r="T664" s="501" t="s">
        <v>22</v>
      </c>
      <c r="U664" s="502"/>
      <c r="V664" s="502"/>
      <c r="W664" s="502"/>
      <c r="X664" s="139"/>
      <c r="Y664" s="140" t="str">
        <f>IF('Mon Entreprise'!I148="","NC",'Mon Entreprise'!I148)</f>
        <v>NC</v>
      </c>
      <c r="Z664" s="191"/>
      <c r="AA664" s="192"/>
      <c r="AB664" s="143" t="str">
        <f>IFERROR(IF('Mon Entreprise'!I148-'Mon Entreprise'!M138&lt;0,0,'Mon Entreprise'!I148-'Mon Entreprise'!M138),"NC")</f>
        <v>NC</v>
      </c>
      <c r="AC664" s="193"/>
      <c r="AD664" s="139"/>
      <c r="AE664" s="146" t="str">
        <f>IFERROR(1-'Mon Entreprise'!M138/'Mon Entreprise'!I148,"NC")</f>
        <v>NC</v>
      </c>
    </row>
    <row r="665" spans="2:31" ht="15.75" customHeight="1">
      <c r="B665" s="103"/>
      <c r="C665" s="372"/>
      <c r="D665" s="495"/>
      <c r="E665" s="496"/>
      <c r="F665" s="496"/>
      <c r="G665" s="496"/>
      <c r="H665" s="496"/>
      <c r="I665" s="496"/>
      <c r="J665" s="496"/>
      <c r="K665" s="496"/>
      <c r="L665" s="496"/>
      <c r="M665" s="496"/>
      <c r="N665" s="496"/>
      <c r="O665" s="497"/>
      <c r="P665" s="1"/>
      <c r="T665" s="373"/>
      <c r="U665" s="370"/>
      <c r="V665" s="370"/>
      <c r="W665" s="370"/>
      <c r="X665" s="139"/>
      <c r="Y665" s="140"/>
      <c r="Z665" s="141"/>
      <c r="AA665" s="192"/>
      <c r="AB665" s="143"/>
      <c r="AC665" s="370"/>
      <c r="AD665" s="139"/>
      <c r="AE665" s="146"/>
    </row>
    <row r="666" spans="2:31" ht="15.75" customHeight="1">
      <c r="B666" s="103"/>
      <c r="C666" s="372"/>
      <c r="D666" s="495"/>
      <c r="E666" s="496"/>
      <c r="F666" s="496"/>
      <c r="G666" s="496"/>
      <c r="H666" s="496"/>
      <c r="I666" s="496"/>
      <c r="J666" s="496"/>
      <c r="K666" s="496"/>
      <c r="L666" s="496"/>
      <c r="M666" s="496"/>
      <c r="N666" s="496"/>
      <c r="O666" s="497"/>
      <c r="P666" s="1"/>
      <c r="T666" s="14"/>
      <c r="U666" s="1"/>
      <c r="V666" s="1"/>
      <c r="W666" s="1"/>
      <c r="X666" s="1"/>
      <c r="Y666" s="1"/>
      <c r="Z666" s="1"/>
      <c r="AA666" s="1"/>
      <c r="AB666" s="1"/>
      <c r="AC666" s="1"/>
      <c r="AD666" s="1"/>
      <c r="AE666" s="13"/>
    </row>
    <row r="667" spans="2:31" ht="15.75" customHeight="1">
      <c r="B667" s="103"/>
      <c r="C667" s="372"/>
      <c r="D667" s="495"/>
      <c r="E667" s="496"/>
      <c r="F667" s="496"/>
      <c r="G667" s="496"/>
      <c r="H667" s="496"/>
      <c r="I667" s="496"/>
      <c r="J667" s="496"/>
      <c r="K667" s="496"/>
      <c r="L667" s="496"/>
      <c r="M667" s="496"/>
      <c r="N667" s="496"/>
      <c r="O667" s="497"/>
      <c r="P667" s="1"/>
      <c r="T667" s="14"/>
      <c r="AC667" s="1"/>
      <c r="AD667" s="1"/>
      <c r="AE667" s="13"/>
    </row>
    <row r="668" spans="2:31" ht="15.75" customHeight="1" thickBot="1">
      <c r="B668" s="103"/>
      <c r="C668" s="372"/>
      <c r="D668" s="498"/>
      <c r="E668" s="499"/>
      <c r="F668" s="499"/>
      <c r="G668" s="499"/>
      <c r="H668" s="499"/>
      <c r="I668" s="499"/>
      <c r="J668" s="499"/>
      <c r="K668" s="499"/>
      <c r="L668" s="499"/>
      <c r="M668" s="499"/>
      <c r="N668" s="499"/>
      <c r="O668" s="500"/>
      <c r="P668" s="1"/>
      <c r="T668" s="14"/>
      <c r="AC668" s="1"/>
      <c r="AD668" s="1"/>
      <c r="AE668" s="13"/>
    </row>
    <row r="669" spans="2:31" ht="16.5" customHeight="1">
      <c r="B669" s="103"/>
      <c r="C669" s="372"/>
      <c r="D669" s="503" t="s">
        <v>525</v>
      </c>
      <c r="E669" s="503"/>
      <c r="F669" s="503"/>
      <c r="G669" s="503"/>
      <c r="H669" s="503"/>
      <c r="I669" s="503"/>
      <c r="J669" s="503"/>
      <c r="K669" s="503"/>
      <c r="L669" s="503"/>
      <c r="M669" s="503"/>
      <c r="N669" s="503"/>
      <c r="O669" s="503"/>
      <c r="P669" s="1"/>
      <c r="T669" s="14"/>
      <c r="AC669" s="1"/>
      <c r="AD669" s="1"/>
      <c r="AE669" s="13"/>
    </row>
    <row r="670" spans="2:31" ht="16.5" customHeight="1">
      <c r="B670" s="103"/>
      <c r="C670" s="372"/>
      <c r="D670" s="504"/>
      <c r="E670" s="504"/>
      <c r="F670" s="504"/>
      <c r="G670" s="504"/>
      <c r="H670" s="504"/>
      <c r="I670" s="504"/>
      <c r="J670" s="504"/>
      <c r="K670" s="504"/>
      <c r="L670" s="504"/>
      <c r="M670" s="504"/>
      <c r="N670" s="504"/>
      <c r="O670" s="504"/>
      <c r="P670" s="1"/>
      <c r="T670" s="14"/>
      <c r="AC670" s="1"/>
      <c r="AD670" s="1"/>
      <c r="AE670" s="13"/>
    </row>
    <row r="671" spans="2:31" ht="15.75" hidden="1">
      <c r="B671" s="103"/>
      <c r="C671" s="78"/>
      <c r="D671" s="78"/>
      <c r="E671" s="78"/>
      <c r="F671" s="78"/>
      <c r="G671" s="78"/>
      <c r="H671" s="78"/>
      <c r="I671" s="78"/>
      <c r="J671" s="78"/>
      <c r="K671" s="78"/>
      <c r="L671" s="78"/>
      <c r="M671" s="78"/>
      <c r="N671" s="78"/>
      <c r="O671" s="78"/>
      <c r="P671" s="1"/>
      <c r="T671" s="14"/>
      <c r="U671" s="1"/>
      <c r="V671" s="1"/>
      <c r="W671" s="1"/>
      <c r="X671" s="1"/>
      <c r="Y671" s="1"/>
      <c r="Z671" s="1"/>
      <c r="AA671" s="1"/>
      <c r="AB671" s="1"/>
      <c r="AC671" s="1"/>
      <c r="AD671" s="1"/>
      <c r="AE671" s="13"/>
    </row>
    <row r="672" spans="2:31" ht="15.75" hidden="1">
      <c r="B672" s="103"/>
      <c r="C672" s="372"/>
      <c r="D672" s="60"/>
      <c r="E672" s="372"/>
      <c r="F672" s="372"/>
      <c r="G672" s="372"/>
      <c r="H672" s="372"/>
      <c r="I672" s="372"/>
      <c r="J672" s="372"/>
      <c r="K672" s="372"/>
      <c r="L672" s="372"/>
      <c r="M672" s="372"/>
      <c r="N672" s="372"/>
      <c r="O672" s="372"/>
      <c r="P672" s="1"/>
      <c r="T672" s="14"/>
      <c r="U672" s="1"/>
      <c r="V672" s="1"/>
      <c r="W672" s="1"/>
      <c r="X672" s="1"/>
      <c r="Y672" s="1"/>
      <c r="Z672" s="1"/>
      <c r="AA672" s="1"/>
      <c r="AB672" s="1"/>
      <c r="AC672" s="1"/>
      <c r="AD672" s="1"/>
      <c r="AE672" s="13"/>
    </row>
    <row r="673" spans="2:31" ht="15.75" hidden="1">
      <c r="B673" s="103"/>
      <c r="C673" s="505" t="s">
        <v>526</v>
      </c>
      <c r="D673" s="505"/>
      <c r="E673" s="505"/>
      <c r="F673" s="505"/>
      <c r="G673" s="505"/>
      <c r="H673" s="505"/>
      <c r="I673" s="505"/>
      <c r="J673" s="505"/>
      <c r="K673" s="505"/>
      <c r="L673" s="505"/>
      <c r="M673" s="505"/>
      <c r="N673" s="505"/>
      <c r="O673" s="505"/>
      <c r="P673" s="1"/>
      <c r="T673" s="14"/>
      <c r="U673" s="1"/>
      <c r="V673" s="1"/>
      <c r="W673" s="1"/>
      <c r="X673" s="1"/>
      <c r="Y673" s="1"/>
      <c r="Z673" s="1"/>
      <c r="AA673" s="1"/>
      <c r="AB673" s="1"/>
      <c r="AC673" s="1"/>
      <c r="AD673" s="1"/>
      <c r="AE673" s="13"/>
    </row>
    <row r="674" spans="2:31" ht="15.75" hidden="1">
      <c r="B674" s="103"/>
      <c r="C674" s="505"/>
      <c r="D674" s="505"/>
      <c r="E674" s="505"/>
      <c r="F674" s="505"/>
      <c r="G674" s="505"/>
      <c r="H674" s="505"/>
      <c r="I674" s="505"/>
      <c r="J674" s="505"/>
      <c r="K674" s="505"/>
      <c r="L674" s="505"/>
      <c r="M674" s="505"/>
      <c r="N674" s="505"/>
      <c r="O674" s="505"/>
      <c r="P674" s="1"/>
      <c r="T674" s="14"/>
      <c r="U674" s="506" t="s">
        <v>72</v>
      </c>
      <c r="V674" s="506"/>
      <c r="W674" s="506"/>
      <c r="X674" s="506"/>
      <c r="Y674" s="506"/>
      <c r="Z674" s="1"/>
      <c r="AA674" s="14"/>
      <c r="AB674" s="370" t="str">
        <f>IF('Mon Entreprise'!K8&lt;=Annexes!R15,"Oui","Non")</f>
        <v>Oui</v>
      </c>
      <c r="AC674" s="1"/>
      <c r="AD674" s="1"/>
      <c r="AE674" s="13"/>
    </row>
    <row r="675" spans="2:31" ht="15.75" hidden="1">
      <c r="B675" s="168"/>
      <c r="C675" s="372"/>
      <c r="D675" s="60" t="str">
        <f>IFERROR(IF('Mon Entreprise'!K8&gt;=Annexes!O20,IF(AB662&gt;=AB664,"Le CA de référence est celui de Septembre 2019, soit une perte de "&amp;ROUND(AB662,0)&amp;" €"&amp;" ==&gt; "&amp;ROUND(AE662*100,0)&amp;" %","Le CA de référence est celui de la création, soit une perte de "&amp;ROUND(AB664,0)&amp;" €"&amp;" ==&gt; "&amp;ROUND(AE664*100,0)&amp;" %"),IF(AB662&gt;=AB663,"Le CA de référence est celui de Septembre 2019, soit une perte de "&amp;ROUND(AB662,0)&amp;" €"&amp;" ==&gt; "&amp;ROUND(AE662*100,0)&amp;" %","Le CA de référence est celui de l'exercice 2019, soit une perte de "&amp;ROUND(AB663,0)&amp;" €"&amp;" ==&gt; "&amp;ROUND(AE663*100,0)&amp;" %")),"")</f>
        <v>Le CA de référence est celui de Septembre 2019, soit une perte de 0 € ==&gt; 0 %</v>
      </c>
      <c r="E675" s="372"/>
      <c r="F675" s="372"/>
      <c r="G675" s="372"/>
      <c r="H675" s="372"/>
      <c r="I675" s="372"/>
      <c r="J675" s="372"/>
      <c r="K675" s="372"/>
      <c r="L675" s="372"/>
      <c r="M675" s="372"/>
      <c r="N675" s="372"/>
      <c r="O675" s="372"/>
      <c r="P675" s="1"/>
      <c r="T675" s="14"/>
      <c r="U675" s="371"/>
      <c r="V675" s="506" t="s">
        <v>393</v>
      </c>
      <c r="W675" s="506"/>
      <c r="X675" s="506"/>
      <c r="Y675" s="506"/>
      <c r="Z675" s="1"/>
      <c r="AA675" s="14"/>
      <c r="AB675" s="370">
        <f>IF('Mon Entreprise'!K8&gt;=Annexes!O20,IF(Y662&gt;=Y664,Y662,Y664),IF(Y662&gt;=Y663,Y662,Y663))</f>
        <v>0</v>
      </c>
      <c r="AC675" s="1"/>
      <c r="AD675" s="1"/>
      <c r="AE675" s="13"/>
    </row>
    <row r="676" spans="2:31" ht="15.75" hidden="1" customHeight="1">
      <c r="B676" s="168"/>
      <c r="C676" s="372"/>
      <c r="D676" s="507" t="str">
        <f>IFERROR(IF('Mon Entreprise'!K8&gt;=Annexes!O20,"",IF(AB662&lt;AB663,"A noter qu'il convient de choisir l'option retenue par l'entreprise lors de sa demande au titre du mois Février 2021, ou a défaut celui du mois de Mars, d'Avril, Mai, Juin, Juillet, Août 2021, si le CA de référence était celui de février 2019 (...),"&amp;" il convient de prendre"&amp;" celui de Septembre 2019, soit "&amp;ROUND(AB662,0)&amp;" €"&amp;" ==&gt; "&amp;ROUND(AE662*100,0)&amp;" %","A noter qu'il convient de choisir l'option retenue par l'entreprise lors de sa demande au titre du mois Février 2021, ou "&amp;"a défaut celui du mois de Mars, d'Avril, Mai, Juin, Juillet ou Août 2021, si"&amp;" le CA de référence était celui de l'exercice 2019, il convient de prendre celui de l'exercie 2019, soit une perte de "&amp;ROUND(AB663,0)&amp;" €"&amp;" ==&gt; "&amp;ROUND(AE663*100,0)&amp;" %")),"")</f>
        <v>A noter qu'il convient de choisir l'option retenue par l'entreprise lors de sa demande au titre du mois Février 2021, ou a défaut celui du mois de Mars, d'Avril, Mai, Juin, Juillet ou Août 2021, si le CA de référence était celui de l'exercice 2019, il convient de prendre celui de l'exercie 2019, soit une perte de 0 € ==&gt; 0 %</v>
      </c>
      <c r="E676" s="507"/>
      <c r="F676" s="507"/>
      <c r="G676" s="507"/>
      <c r="H676" s="507"/>
      <c r="I676" s="507"/>
      <c r="J676" s="507"/>
      <c r="K676" s="507"/>
      <c r="L676" s="507"/>
      <c r="M676" s="507"/>
      <c r="N676" s="507"/>
      <c r="O676" s="507"/>
      <c r="P676" s="1"/>
      <c r="T676" s="14"/>
      <c r="U676" s="506" t="s">
        <v>84</v>
      </c>
      <c r="V676" s="506"/>
      <c r="W676" s="506"/>
      <c r="X676" s="506"/>
      <c r="Y676" s="506"/>
      <c r="Z676" s="1"/>
      <c r="AA676" s="14"/>
      <c r="AB676" s="367">
        <f>IF('Mon Entreprise'!K8&gt;=Annexes!O20,IF(AB662&gt;=AB664,AB662,AB664),IF(AB662&gt;=AB663,AB662,AB663))</f>
        <v>0</v>
      </c>
      <c r="AC676" s="1"/>
      <c r="AD676" s="1"/>
      <c r="AE676" s="13"/>
    </row>
    <row r="677" spans="2:31" ht="15.75" hidden="1">
      <c r="B677" s="168"/>
      <c r="C677" s="372"/>
      <c r="D677" s="507"/>
      <c r="E677" s="507"/>
      <c r="F677" s="507"/>
      <c r="G677" s="507"/>
      <c r="H677" s="507"/>
      <c r="I677" s="507"/>
      <c r="J677" s="507"/>
      <c r="K677" s="507"/>
      <c r="L677" s="507"/>
      <c r="M677" s="507"/>
      <c r="N677" s="507"/>
      <c r="O677" s="507"/>
      <c r="P677" s="1"/>
      <c r="T677" s="14"/>
      <c r="U677" s="506" t="s">
        <v>85</v>
      </c>
      <c r="V677" s="506"/>
      <c r="W677" s="506"/>
      <c r="X677" s="506"/>
      <c r="Y677" s="506"/>
      <c r="Z677" s="1"/>
      <c r="AA677" s="14"/>
      <c r="AB677" s="19">
        <f>IF('Mon Entreprise'!K8&gt;=Annexes!O20,IF(AB662&gt;=AB664,AE662,AE664),IF(AB662&gt;=AB663,AE662,AE663))</f>
        <v>0</v>
      </c>
      <c r="AC677" s="1"/>
      <c r="AD677" s="1"/>
      <c r="AE677" s="13"/>
    </row>
    <row r="678" spans="2:31" ht="15.75" hidden="1">
      <c r="B678" s="168"/>
      <c r="C678" s="372"/>
      <c r="D678" s="507"/>
      <c r="E678" s="507"/>
      <c r="F678" s="507"/>
      <c r="G678" s="507"/>
      <c r="H678" s="507"/>
      <c r="I678" s="507"/>
      <c r="J678" s="507"/>
      <c r="K678" s="507"/>
      <c r="L678" s="507"/>
      <c r="M678" s="507"/>
      <c r="N678" s="507"/>
      <c r="O678" s="507"/>
      <c r="P678" s="1"/>
      <c r="T678" s="14"/>
      <c r="U678" s="371"/>
      <c r="V678" s="371"/>
      <c r="W678" s="371"/>
      <c r="X678" s="371"/>
      <c r="Y678" s="371"/>
      <c r="Z678" s="1"/>
      <c r="AA678" s="1"/>
      <c r="AB678" s="19"/>
      <c r="AC678" s="1"/>
      <c r="AD678" s="1"/>
      <c r="AE678" s="13"/>
    </row>
    <row r="679" spans="2:31" ht="16.5" hidden="1" thickBot="1">
      <c r="B679" s="103"/>
      <c r="C679" s="372"/>
      <c r="D679" s="60" t="s">
        <v>7</v>
      </c>
      <c r="E679" s="372"/>
      <c r="F679" s="372"/>
      <c r="G679" s="372"/>
      <c r="H679" s="372"/>
      <c r="I679" s="372"/>
      <c r="J679" s="372"/>
      <c r="K679" s="372"/>
      <c r="L679" s="372"/>
      <c r="M679" s="372"/>
      <c r="N679" s="372"/>
      <c r="O679" s="372"/>
      <c r="P679" s="1"/>
      <c r="T679" s="14"/>
      <c r="U679" s="1"/>
      <c r="V679" s="1"/>
      <c r="W679" s="1"/>
      <c r="X679" s="1"/>
      <c r="Y679" s="1"/>
      <c r="Z679" s="1"/>
      <c r="AA679" s="1"/>
      <c r="AB679" s="1"/>
      <c r="AC679" s="1"/>
      <c r="AD679" s="1"/>
      <c r="AE679" s="13"/>
    </row>
    <row r="680" spans="2:31" ht="15.75" hidden="1">
      <c r="B680" s="168"/>
      <c r="C680" s="372"/>
      <c r="D680" s="508" t="str">
        <f>IFERROR(IF(AB674="Non","Vous avez débuté votre activité après le 31 Janvier 2020, vous ne pouvez donc pas bénéficier de cette aide",IF(AND(AB693=TRUE,AB677&gt;=0.5),IF(AB676&gt;Annexes!O5,"Dans votre cas, l'aide est Plafonnée, à "&amp;Annexes!O5&amp;" € pour le mois de Septembre","Vous pouvez bénéficier, au titre de cette aide, d'un montant de "&amp;ROUND(AB676,0)&amp;" € pour le mois de Septembre"),"L'entreprise n'a pas une perte d'au moins 20 % en Septembre 2021 ou n'a pas été en fermeture Administrative au moins 8 Jours")),"Vous n'avez pas indiqué de chiffre d'affaires de référence")</f>
        <v>L'entreprise n'a pas une perte d'au moins 20 % en Septembre 2021 ou n'a pas été en fermeture Administrative au moins 8 Jours</v>
      </c>
      <c r="E680" s="509"/>
      <c r="F680" s="509"/>
      <c r="G680" s="509"/>
      <c r="H680" s="509"/>
      <c r="I680" s="509"/>
      <c r="J680" s="509"/>
      <c r="K680" s="509"/>
      <c r="L680" s="509"/>
      <c r="M680" s="509"/>
      <c r="N680" s="509"/>
      <c r="O680" s="510"/>
      <c r="P680" s="1"/>
      <c r="T680" s="14"/>
      <c r="U680" s="1"/>
      <c r="V680" s="1"/>
      <c r="W680" s="1"/>
      <c r="X680" s="1"/>
      <c r="Y680" s="1"/>
      <c r="Z680" s="1"/>
      <c r="AA680" s="1"/>
      <c r="AB680" s="1"/>
      <c r="AC680" s="1"/>
      <c r="AD680" s="1"/>
      <c r="AE680" s="13"/>
    </row>
    <row r="681" spans="2:31" ht="15.75" hidden="1" customHeight="1">
      <c r="B681" s="168"/>
      <c r="C681" s="372"/>
      <c r="D681" s="511"/>
      <c r="E681" s="512"/>
      <c r="F681" s="512"/>
      <c r="G681" s="512"/>
      <c r="H681" s="512"/>
      <c r="I681" s="512"/>
      <c r="J681" s="512"/>
      <c r="K681" s="512"/>
      <c r="L681" s="512"/>
      <c r="M681" s="512"/>
      <c r="N681" s="512"/>
      <c r="O681" s="513"/>
      <c r="P681" s="1"/>
      <c r="T681" s="14"/>
      <c r="U681" s="1"/>
      <c r="V681" s="1"/>
      <c r="W681" s="1"/>
      <c r="X681" s="1"/>
      <c r="Y681" s="1"/>
      <c r="Z681" s="1"/>
      <c r="AA681" s="1"/>
      <c r="AB681" s="1"/>
      <c r="AC681" s="1"/>
      <c r="AD681" s="1"/>
      <c r="AE681" s="13"/>
    </row>
    <row r="682" spans="2:31" ht="15.75" hidden="1" customHeight="1">
      <c r="B682" s="103"/>
      <c r="C682" s="372"/>
      <c r="D682" s="511"/>
      <c r="E682" s="512"/>
      <c r="F682" s="512"/>
      <c r="G682" s="512"/>
      <c r="H682" s="512"/>
      <c r="I682" s="512"/>
      <c r="J682" s="512"/>
      <c r="K682" s="512"/>
      <c r="L682" s="512"/>
      <c r="M682" s="512"/>
      <c r="N682" s="512"/>
      <c r="O682" s="513"/>
      <c r="P682" s="1"/>
      <c r="T682" s="14"/>
      <c r="U682" s="1"/>
      <c r="V682" s="1"/>
      <c r="W682" s="1"/>
      <c r="X682" s="1"/>
      <c r="Y682" s="1"/>
      <c r="Z682" s="1"/>
      <c r="AA682" s="1"/>
      <c r="AB682" s="1"/>
      <c r="AC682" s="1"/>
      <c r="AD682" s="1"/>
      <c r="AE682" s="13"/>
    </row>
    <row r="683" spans="2:31" ht="15.75" hidden="1" customHeight="1" thickBot="1">
      <c r="B683" s="103"/>
      <c r="C683" s="372"/>
      <c r="D683" s="514"/>
      <c r="E683" s="515"/>
      <c r="F683" s="515"/>
      <c r="G683" s="515"/>
      <c r="H683" s="515"/>
      <c r="I683" s="515"/>
      <c r="J683" s="515"/>
      <c r="K683" s="515"/>
      <c r="L683" s="515"/>
      <c r="M683" s="515"/>
      <c r="N683" s="515"/>
      <c r="O683" s="516"/>
      <c r="P683" s="1"/>
      <c r="T683" s="14"/>
      <c r="U683" s="1"/>
      <c r="V683" s="1"/>
      <c r="W683" s="1"/>
      <c r="X683" s="1"/>
      <c r="Y683" s="1"/>
      <c r="Z683" s="1"/>
      <c r="AA683" s="1"/>
      <c r="AB683" s="1"/>
      <c r="AC683" s="1"/>
      <c r="AD683" s="1"/>
      <c r="AE683" s="13"/>
    </row>
    <row r="684" spans="2:31" ht="16.5" hidden="1" customHeight="1">
      <c r="B684" s="103"/>
      <c r="C684" s="169"/>
      <c r="D684" s="517"/>
      <c r="E684" s="517"/>
      <c r="F684" s="517"/>
      <c r="G684" s="517"/>
      <c r="H684" s="517"/>
      <c r="I684" s="517"/>
      <c r="J684" s="517"/>
      <c r="K684" s="517"/>
      <c r="L684" s="517"/>
      <c r="M684" s="517"/>
      <c r="N684" s="517"/>
      <c r="O684" s="517"/>
      <c r="P684" s="1"/>
      <c r="T684" s="518" t="s">
        <v>4</v>
      </c>
      <c r="U684" s="519"/>
      <c r="V684" s="519"/>
      <c r="W684" s="519"/>
      <c r="X684" s="519"/>
      <c r="Y684" s="519"/>
      <c r="Z684" s="139"/>
      <c r="AA684" s="145"/>
      <c r="AB684" s="194">
        <f>IFERROR(IF('Mon Entreprise'!K8&gt;=Annexes!Q18,0,1-'Mon Entreprise'!M118/2/AB675),0)</f>
        <v>0</v>
      </c>
      <c r="AC684" s="1"/>
      <c r="AD684" s="1"/>
      <c r="AE684" s="13"/>
    </row>
    <row r="685" spans="2:31" ht="16.5" hidden="1" customHeight="1">
      <c r="B685" s="103"/>
      <c r="C685" s="372"/>
      <c r="D685" s="306"/>
      <c r="E685" s="306"/>
      <c r="F685" s="306"/>
      <c r="G685" s="306"/>
      <c r="H685" s="306"/>
      <c r="I685" s="306"/>
      <c r="J685" s="306"/>
      <c r="K685" s="306"/>
      <c r="L685" s="306"/>
      <c r="M685" s="306"/>
      <c r="N685" s="306"/>
      <c r="O685" s="306"/>
      <c r="P685" s="1"/>
      <c r="T685" s="110"/>
      <c r="U685" s="520" t="s">
        <v>102</v>
      </c>
      <c r="V685" s="520"/>
      <c r="W685" s="520"/>
      <c r="X685" s="520"/>
      <c r="Y685" s="520"/>
      <c r="Z685" s="139"/>
      <c r="AA685" s="145"/>
      <c r="AB685" s="194">
        <f>IFERROR(IF('Mon Entreprise'!K8&gt;Annexes!Q29,0,IF('Mon Entreprise'!K8&gt;Annexes!Q26,1,1-'Mon Entreprise'!M114/AB675)),0)</f>
        <v>0</v>
      </c>
      <c r="AC685" s="1"/>
      <c r="AD685" s="1"/>
      <c r="AE685" s="13"/>
    </row>
    <row r="686" spans="2:31" ht="16.5" hidden="1" customHeight="1">
      <c r="B686" s="103"/>
      <c r="C686" s="505" t="s">
        <v>512</v>
      </c>
      <c r="D686" s="505"/>
      <c r="E686" s="505"/>
      <c r="F686" s="505"/>
      <c r="G686" s="505"/>
      <c r="H686" s="505"/>
      <c r="I686" s="505"/>
      <c r="J686" s="505"/>
      <c r="K686" s="505"/>
      <c r="L686" s="505"/>
      <c r="M686" s="505"/>
      <c r="N686" s="505"/>
      <c r="O686" s="505"/>
      <c r="P686" s="1"/>
      <c r="T686" s="110"/>
      <c r="U686" s="520" t="s">
        <v>109</v>
      </c>
      <c r="V686" s="520"/>
      <c r="W686" s="520"/>
      <c r="X686" s="520"/>
      <c r="Y686" s="520"/>
      <c r="Z686" s="139"/>
      <c r="AA686" s="145"/>
      <c r="AB686" s="194">
        <f>IFERROR(IF(Annexes!O27&gt;'Mon Entreprise'!K8,1-'Mon Entreprise'!M98/'Mon Entreprise'!I98,0),0)</f>
        <v>0</v>
      </c>
      <c r="AC686" s="1"/>
      <c r="AD686" s="1"/>
      <c r="AE686" s="13"/>
    </row>
    <row r="687" spans="2:31" ht="16.5" hidden="1" customHeight="1">
      <c r="B687" s="103"/>
      <c r="C687" s="505"/>
      <c r="D687" s="505"/>
      <c r="E687" s="505"/>
      <c r="F687" s="505"/>
      <c r="G687" s="505"/>
      <c r="H687" s="505"/>
      <c r="I687" s="505"/>
      <c r="J687" s="505"/>
      <c r="K687" s="505"/>
      <c r="L687" s="505"/>
      <c r="M687" s="505"/>
      <c r="N687" s="505"/>
      <c r="O687" s="505"/>
      <c r="P687" s="1"/>
      <c r="T687" s="110"/>
      <c r="U687" s="368"/>
      <c r="V687" s="368"/>
      <c r="W687" s="368"/>
      <c r="X687" s="368"/>
      <c r="Y687" s="368"/>
      <c r="Z687" s="139"/>
      <c r="AA687" s="145"/>
      <c r="AB687" s="194"/>
      <c r="AC687" s="1"/>
      <c r="AD687" s="1"/>
      <c r="AE687" s="13"/>
    </row>
    <row r="688" spans="2:31" ht="16.5" hidden="1" customHeight="1">
      <c r="B688" s="103"/>
      <c r="C688" s="505"/>
      <c r="D688" s="505"/>
      <c r="E688" s="505"/>
      <c r="F688" s="505"/>
      <c r="G688" s="505"/>
      <c r="H688" s="505"/>
      <c r="I688" s="505"/>
      <c r="J688" s="505"/>
      <c r="K688" s="505"/>
      <c r="L688" s="505"/>
      <c r="M688" s="505"/>
      <c r="N688" s="505"/>
      <c r="O688" s="505"/>
      <c r="P688" s="1"/>
      <c r="T688" s="110"/>
      <c r="U688" s="368"/>
      <c r="V688" s="368"/>
      <c r="W688" s="368"/>
      <c r="X688" s="368"/>
      <c r="Y688" s="368"/>
      <c r="Z688" s="139"/>
      <c r="AA688" s="145"/>
      <c r="AB688" s="194"/>
      <c r="AC688" s="1"/>
      <c r="AD688" s="1"/>
      <c r="AE688" s="13"/>
    </row>
    <row r="689" spans="1:31" ht="16.5" hidden="1" customHeight="1">
      <c r="B689" s="103"/>
      <c r="C689" s="505"/>
      <c r="D689" s="505"/>
      <c r="E689" s="505"/>
      <c r="F689" s="505"/>
      <c r="G689" s="505"/>
      <c r="H689" s="505"/>
      <c r="I689" s="505"/>
      <c r="J689" s="505"/>
      <c r="K689" s="505"/>
      <c r="L689" s="505"/>
      <c r="M689" s="505"/>
      <c r="N689" s="505"/>
      <c r="O689" s="505"/>
      <c r="P689" s="1"/>
      <c r="T689" s="14"/>
      <c r="U689" s="521" t="s">
        <v>8</v>
      </c>
      <c r="V689" s="521"/>
      <c r="W689" s="521"/>
      <c r="X689" s="521"/>
      <c r="Y689" s="521"/>
      <c r="Z689" s="1"/>
      <c r="AA689" s="14"/>
      <c r="AB689" s="367" t="str">
        <f>IF((AND(Annexes!F5&gt;1,Annexes!F5&lt;=Annexes!H6,AB696&gt;=0.1)),"OUI","NON")</f>
        <v>NON</v>
      </c>
      <c r="AC689" s="1"/>
      <c r="AD689" s="1"/>
      <c r="AE689" s="13"/>
    </row>
    <row r="690" spans="1:31" ht="22.5" hidden="1" customHeight="1">
      <c r="B690" s="103"/>
      <c r="D690" s="564" t="s">
        <v>513</v>
      </c>
      <c r="E690" s="564"/>
      <c r="F690" s="564"/>
      <c r="G690" s="564"/>
      <c r="H690" s="564"/>
      <c r="I690" s="564"/>
      <c r="J690" s="564"/>
      <c r="K690" s="564"/>
      <c r="L690" s="564"/>
      <c r="M690" s="564"/>
      <c r="N690" s="564"/>
      <c r="O690" s="564"/>
      <c r="P690" s="1"/>
      <c r="T690" s="14"/>
      <c r="U690" s="369"/>
      <c r="V690" s="369"/>
      <c r="W690" s="369"/>
      <c r="X690" s="369"/>
      <c r="Y690" s="369" t="s">
        <v>9</v>
      </c>
      <c r="Z690" s="1"/>
      <c r="AA690" s="14"/>
      <c r="AB690" s="367" t="str">
        <f>IF(AND(Annexes!F7&gt;1,Annexes!F7&lt;=Annexes!H8,AB696&gt;=0.1),"OUI","NON")</f>
        <v>NON</v>
      </c>
      <c r="AC690" s="1"/>
      <c r="AD690" s="1"/>
      <c r="AE690" s="13"/>
    </row>
    <row r="691" spans="1:31" ht="16.5" hidden="1" customHeight="1">
      <c r="B691" s="103"/>
      <c r="C691" s="372"/>
      <c r="D691" s="306"/>
      <c r="E691" s="522" t="str">
        <f>IF(AB694="NON","",IF(OR(AB689="OUI",AB691="OUI",AND(AB690="OUI",OR(AB684&gt;=Annexes!P5,AB685&gt;=Annexes!P5,'Mes Aides'!AB145&gt;=0.1))),"",IF(AND(AB690="OUI",OR(AB684&lt;Annexes!P5,AB685&lt;Annexes!P5,'Mes Aides'!AB198&lt;0.1)),"L'entreprise fait partie des entreprises mentionnées en annexe 2 du décret mais n'a pas eu une perte de CA d'au-Moins 80 %, entre le 15/03/2020 et le 15/05/2020 ou Novembre 2020 ou 10 % entre 2019 et 2020","L'entreprise ne fait pas partie des activités mentionnées aux annexes 1, 2 ou domicilé dans une des îles d'outre-mer.")))</f>
        <v>L'entreprise ne fait pas partie des activités mentionnées aux annexes 1, 2 ou domicilé dans une des îles d'outre-mer.</v>
      </c>
      <c r="F691" s="522"/>
      <c r="G691" s="522"/>
      <c r="H691" s="522"/>
      <c r="I691" s="522"/>
      <c r="J691" s="522"/>
      <c r="K691" s="522"/>
      <c r="L691" s="522"/>
      <c r="M691" s="522"/>
      <c r="N691" s="522"/>
      <c r="O691" s="522"/>
      <c r="P691" s="1"/>
      <c r="T691" s="491" t="s">
        <v>474</v>
      </c>
      <c r="U691" s="490"/>
      <c r="V691" s="490"/>
      <c r="W691" s="490"/>
      <c r="X691" s="490"/>
      <c r="Y691" s="490"/>
      <c r="Z691" s="1"/>
      <c r="AA691" s="14"/>
      <c r="AB691" s="367" t="str">
        <f>IF(AND(Annexes!M24=TRUE,AB696&lt;0.85),"OUI","NON")</f>
        <v>NON</v>
      </c>
      <c r="AC691" s="1"/>
      <c r="AD691" s="1"/>
      <c r="AE691" s="13"/>
    </row>
    <row r="692" spans="1:31" ht="16.5" hidden="1" customHeight="1">
      <c r="B692" s="103"/>
      <c r="C692" s="372"/>
      <c r="D692" s="306"/>
      <c r="E692" s="522"/>
      <c r="F692" s="522"/>
      <c r="G692" s="522"/>
      <c r="H692" s="522"/>
      <c r="I692" s="522"/>
      <c r="J692" s="522"/>
      <c r="K692" s="522"/>
      <c r="L692" s="522"/>
      <c r="M692" s="522"/>
      <c r="N692" s="522"/>
      <c r="O692" s="522"/>
      <c r="P692" s="1"/>
      <c r="T692" s="491" t="s">
        <v>509</v>
      </c>
      <c r="U692" s="490"/>
      <c r="V692" s="490"/>
      <c r="W692" s="490"/>
      <c r="X692" s="490"/>
      <c r="Y692" s="490"/>
      <c r="Z692" s="1"/>
      <c r="AA692" s="14"/>
      <c r="AB692" s="367" t="b">
        <f>IF(OR(AND(Annexes!M41=TRUE,AB696&gt;=0.2),AND(Annexes!M42=TRUE,AB696&gt;=0.5)),TRUE,FALSE)</f>
        <v>0</v>
      </c>
      <c r="AC692" s="1"/>
      <c r="AD692" s="1"/>
      <c r="AE692" s="13"/>
    </row>
    <row r="693" spans="1:31" ht="16.5" hidden="1" customHeight="1">
      <c r="A693" s="99"/>
      <c r="B693" s="103"/>
      <c r="C693" s="372"/>
      <c r="D693" s="523" t="str">
        <f>IFERROR(IF('Mon Entreprise'!K8&gt;=Annexes!O20,IF(AB662&gt;=AB664,"- Le CA de référence est celui de Septembre 2019, soit une perte de "&amp;ROUND(AB662,0)&amp;" €"&amp;" ==&gt; "&amp;ROUND(AE662*100,0)&amp;" %","- Le CA de référence est celui de la création, soit une perte de "&amp;ROUND(AB664,0)&amp;" €"&amp;" ==&gt; "&amp;ROUND(AE664*100,0)&amp;" %"),IF(AB662&gt;=AB663,"- Le CA de référence est celui de Septembre 2019, soit une perte de "&amp;ROUND(AB662,0)&amp;" €"&amp;" ==&gt; "&amp;ROUND(AE662*100,0)&amp;" %","- Le CA de référence est celui de l'exercice 2019, soit une perte de "&amp;ROUND(AB663,0)&amp;" €"&amp;" ==&gt; "&amp;ROUND(AE663*100,0)&amp;" %")),"")</f>
        <v>- Le CA de référence est celui de Septembre 2019, soit une perte de 0 € ==&gt; 0 %</v>
      </c>
      <c r="E693" s="523"/>
      <c r="F693" s="523"/>
      <c r="G693" s="523"/>
      <c r="H693" s="523"/>
      <c r="I693" s="523"/>
      <c r="J693" s="523"/>
      <c r="K693" s="523"/>
      <c r="L693" s="523"/>
      <c r="M693" s="523"/>
      <c r="N693" s="523"/>
      <c r="O693" s="523"/>
      <c r="P693" s="1"/>
      <c r="T693" s="14"/>
      <c r="U693" s="367"/>
      <c r="V693" s="367"/>
      <c r="W693" s="367"/>
      <c r="X693" s="367"/>
      <c r="Y693" s="367" t="s">
        <v>505</v>
      </c>
      <c r="Z693" s="1"/>
      <c r="AA693" s="14"/>
      <c r="AB693" s="367" t="b">
        <f>IF(AND(Annexes!M43=TRUE,AB696&gt;=0.2),TRUE,FALSE)</f>
        <v>0</v>
      </c>
      <c r="AC693" s="1"/>
      <c r="AD693" s="1"/>
      <c r="AE693" s="13"/>
    </row>
    <row r="694" spans="1:31" ht="16.5" hidden="1" customHeight="1">
      <c r="A694" s="99"/>
      <c r="B694" s="103"/>
      <c r="C694" s="372"/>
      <c r="D694" s="524" t="str">
        <f>IFERROR(IF('Mon Entreprise'!K8&gt;=Annexes!O20,"",IF(AB662&lt;AB663,"A noter qu'il convient de choisir l'option retenue par l'entreprise lors de sa demande au titre du mois Février ou a défaut celui du mois de Mars, Avril, Mai, Juin, Juillet, ou Août 2021, si le CA de référence était celui de février (...) 2019,"&amp;" il convient de prendre celui de Septembre 2019, soit "&amp;ROUND(AB662,0)&amp;" €"&amp;" ==&gt; "&amp;ROUND(AE662*100,0)&amp;" %","A noter qu'il convient de choisir l'option retenue par l'entreprise lors de sa demande"&amp;" au titre du mois Février  ou a défaut celui du mois de Mars, Avril, Mai, Juin, Juillet ou Août 2021, si le CA de référence était celui de l'exercice 2019, il convient de prendre celui de l'exercie 2019, soit une perte de "&amp;ROUND(AB663,0)&amp;" €"&amp;" ==&gt; "&amp;ROUND(AE663*100,0)&amp;" %")),"")</f>
        <v>A noter qu'il convient de choisir l'option retenue par l'entreprise lors de sa demande au titre du mois Février  ou a défaut celui du mois de Mars, Avril, Mai, Juin, Juillet ou Août 2021, si le CA de référence était celui de l'exercice 2019, il convient de prendre celui de l'exercie 2019, soit une perte de 0 € ==&gt; 0 %</v>
      </c>
      <c r="E694" s="524"/>
      <c r="F694" s="524"/>
      <c r="G694" s="524"/>
      <c r="H694" s="524"/>
      <c r="I694" s="524"/>
      <c r="J694" s="524"/>
      <c r="K694" s="524"/>
      <c r="L694" s="524"/>
      <c r="M694" s="524"/>
      <c r="N694" s="524"/>
      <c r="O694" s="524"/>
      <c r="P694" s="1"/>
      <c r="T694" s="14"/>
      <c r="U694" s="525" t="s">
        <v>72</v>
      </c>
      <c r="V694" s="525"/>
      <c r="W694" s="525"/>
      <c r="X694" s="525"/>
      <c r="Y694" s="525"/>
      <c r="Z694" s="139"/>
      <c r="AA694" s="145"/>
      <c r="AB694" s="370" t="str">
        <f>IF(AB674="Oui","Oui","Non")</f>
        <v>Oui</v>
      </c>
      <c r="AC694" s="139"/>
      <c r="AD694" s="1"/>
      <c r="AE694" s="13"/>
    </row>
    <row r="695" spans="1:31" ht="16.5" hidden="1" customHeight="1">
      <c r="A695" s="99"/>
      <c r="B695" s="103"/>
      <c r="C695" s="372"/>
      <c r="D695" s="524"/>
      <c r="E695" s="524"/>
      <c r="F695" s="524"/>
      <c r="G695" s="524"/>
      <c r="H695" s="524"/>
      <c r="I695" s="524"/>
      <c r="J695" s="524"/>
      <c r="K695" s="524"/>
      <c r="L695" s="524"/>
      <c r="M695" s="524"/>
      <c r="N695" s="524"/>
      <c r="O695" s="524"/>
      <c r="P695" s="1"/>
      <c r="T695" s="14"/>
      <c r="U695" s="525" t="s">
        <v>84</v>
      </c>
      <c r="V695" s="525"/>
      <c r="W695" s="525"/>
      <c r="X695" s="525"/>
      <c r="Y695" s="525"/>
      <c r="Z695" s="139"/>
      <c r="AA695" s="145"/>
      <c r="AB695" s="370">
        <f>IF('Mon Entreprise'!K8&gt;=Annexes!O20,IF(AB662&gt;=AB664,AB662,AB664),IF(AB662&gt;=AB663,AB662,AB663))</f>
        <v>0</v>
      </c>
      <c r="AC695" s="139"/>
      <c r="AD695" s="1"/>
      <c r="AE695" s="13"/>
    </row>
    <row r="696" spans="1:31" ht="16.5" hidden="1" customHeight="1">
      <c r="B696" s="103"/>
      <c r="C696" s="372"/>
      <c r="D696" s="215"/>
      <c r="E696" s="365"/>
      <c r="F696" s="365"/>
      <c r="G696" s="365"/>
      <c r="H696" s="365"/>
      <c r="I696" s="365"/>
      <c r="J696" s="365"/>
      <c r="K696" s="365"/>
      <c r="L696" s="365"/>
      <c r="M696" s="365"/>
      <c r="N696" s="365"/>
      <c r="O696" s="365"/>
      <c r="P696" s="1"/>
      <c r="T696" s="14"/>
      <c r="U696" s="525" t="s">
        <v>85</v>
      </c>
      <c r="V696" s="525"/>
      <c r="W696" s="525"/>
      <c r="X696" s="525"/>
      <c r="Y696" s="525"/>
      <c r="Z696" s="139"/>
      <c r="AA696" s="145"/>
      <c r="AB696" s="370">
        <f>IF('Mon Entreprise'!K8&gt;=Annexes!O20,IF(AB662&gt;=AB664,AE662,AE664),IF(AB662&gt;=AB663,AE662,AE663))</f>
        <v>0</v>
      </c>
      <c r="AC696" s="139"/>
      <c r="AD696" s="1"/>
      <c r="AE696" s="13"/>
    </row>
    <row r="697" spans="1:31" ht="16.5" hidden="1" customHeight="1" thickBot="1">
      <c r="B697" s="103"/>
      <c r="C697" s="372"/>
      <c r="D697" s="365"/>
      <c r="E697" s="365"/>
      <c r="F697" s="365"/>
      <c r="G697" s="365"/>
      <c r="H697" s="365"/>
      <c r="I697" s="365"/>
      <c r="J697" s="365"/>
      <c r="K697" s="365"/>
      <c r="L697" s="365"/>
      <c r="M697" s="365"/>
      <c r="N697" s="365"/>
      <c r="O697" s="365"/>
      <c r="P697" s="1"/>
      <c r="T697" s="14"/>
      <c r="U697" s="502" t="s">
        <v>74</v>
      </c>
      <c r="V697" s="502"/>
      <c r="W697" s="502"/>
      <c r="X697" s="502"/>
      <c r="Y697" s="502"/>
      <c r="Z697" s="139"/>
      <c r="AA697" s="145"/>
      <c r="AB697" s="370">
        <v>1</v>
      </c>
      <c r="AC697" s="139"/>
      <c r="AD697" s="1"/>
      <c r="AE697" s="13"/>
    </row>
    <row r="698" spans="1:31" ht="16.5" hidden="1" customHeight="1">
      <c r="B698" s="103"/>
      <c r="C698" s="372"/>
      <c r="D698" s="527" t="str">
        <f>IFERROR(IF(AB694="NON","Vous avez débuté votre activité après le 31 Janvier 2020, vous ne pouvez donc pas bénéficier de cette aide",IF(OR(AB689="OUI",AB691="OUI",AND(AB690="OUI",OR(AB684&lt;Annexes!P5,AB685&lt;Annexes!P5,'Mes Aides'!AB198&lt;0.1))),IF(AND(0.2*AB699&gt;Annexes!O8,0.2*AB698&gt;Annexes!O8),"Dans votre cas, l'aide est plafonnée, à "&amp;Annexes!O8&amp;" € pour le mois de Septembre",IF(0.2*AB699&gt;=0.2*AB698,"Dans votre cas, 20 % de la perte est supérieur à 20 % du CA, l'aide est donc plafonnée à 20 % du CA, soit "&amp;ROUND(0.2*AB698,0)&amp;" € pour le mois de Septembre","Dans votre cas, 20% de la perte est inférieure à 20 % du CA, l'aide est donc plafonnée à 20 % de la perte, soit "&amp;ROUND(0.2*AB699,0)&amp;" € pour le mois de Septembre")),"Vous ne faites pas partie des entreprises ayant leur activité mentionnée en annexe 1, ou en annexe 2, avec une perte de CA "&amp;"d'au moins 80 % entre le 15/03/2020 et le 15/05/2020 ou au mois de Novembre 2020 ou une perte de 10 % entre 2019 et 2020, ou domicilié dans les îles d'outre-mer")),"Vous n'avez pas indiqué de chiffre d'affaires de référence")</f>
        <v>Vous ne faites pas partie des entreprises ayant leur activité mentionnée en annexe 1, ou en annexe 2, avec une perte de CA d'au moins 80 % entre le 15/03/2020 et le 15/05/2020 ou au mois de Novembre 2020 ou une perte de 10 % entre 2019 et 2020, ou domicilié dans les îles d'outre-mer</v>
      </c>
      <c r="E698" s="509"/>
      <c r="F698" s="509"/>
      <c r="G698" s="509"/>
      <c r="H698" s="509"/>
      <c r="I698" s="509"/>
      <c r="J698" s="509"/>
      <c r="K698" s="509"/>
      <c r="L698" s="509"/>
      <c r="M698" s="509"/>
      <c r="N698" s="509"/>
      <c r="O698" s="510"/>
      <c r="P698" s="1"/>
      <c r="T698" s="14"/>
      <c r="U698" s="502" t="s">
        <v>80</v>
      </c>
      <c r="V698" s="502"/>
      <c r="W698" s="502"/>
      <c r="X698" s="502"/>
      <c r="Y698" s="502"/>
      <c r="Z698" s="139"/>
      <c r="AA698" s="145"/>
      <c r="AB698" s="370">
        <f>IF('Mon Entreprise'!K8&gt;=Annexes!O20,IF(AB662&gt;=AB664,Y662,Y664),IF(AB662&gt;=AB663,Y662,Y663))</f>
        <v>0</v>
      </c>
      <c r="AC698" s="139"/>
      <c r="AD698" s="1"/>
      <c r="AE698" s="13"/>
    </row>
    <row r="699" spans="1:31" ht="16.5" hidden="1" customHeight="1">
      <c r="B699" s="173"/>
      <c r="C699" s="372"/>
      <c r="D699" s="511"/>
      <c r="E699" s="512"/>
      <c r="F699" s="512"/>
      <c r="G699" s="512"/>
      <c r="H699" s="512"/>
      <c r="I699" s="512"/>
      <c r="J699" s="512"/>
      <c r="K699" s="512"/>
      <c r="L699" s="512"/>
      <c r="M699" s="512"/>
      <c r="N699" s="512"/>
      <c r="O699" s="513"/>
      <c r="P699" s="1"/>
      <c r="T699" s="14"/>
      <c r="U699" s="490" t="s">
        <v>104</v>
      </c>
      <c r="V699" s="490"/>
      <c r="W699" s="490"/>
      <c r="X699" s="490"/>
      <c r="Y699" s="490"/>
      <c r="Z699" s="1"/>
      <c r="AA699" s="14"/>
      <c r="AB699" s="367">
        <f>IF(AB697=1,AB695,IF(AB695*AB697&gt;1500,IF(AB695&gt;1500,AB695*AB697,"Impossible"),IF(AB695&lt;1500,AB695,1500)))</f>
        <v>0</v>
      </c>
      <c r="AC699" s="1"/>
      <c r="AD699" s="1"/>
      <c r="AE699" s="13"/>
    </row>
    <row r="700" spans="1:31" ht="16.5" hidden="1" customHeight="1">
      <c r="B700" s="103"/>
      <c r="C700" s="372"/>
      <c r="D700" s="511"/>
      <c r="E700" s="512"/>
      <c r="F700" s="512"/>
      <c r="G700" s="512"/>
      <c r="H700" s="512"/>
      <c r="I700" s="512"/>
      <c r="J700" s="512"/>
      <c r="K700" s="512"/>
      <c r="L700" s="512"/>
      <c r="M700" s="512"/>
      <c r="N700" s="512"/>
      <c r="O700" s="513"/>
      <c r="P700" s="1"/>
      <c r="T700" s="14"/>
      <c r="U700" s="367"/>
      <c r="V700" s="367"/>
      <c r="W700" s="367"/>
      <c r="X700" s="367"/>
      <c r="Y700" s="367"/>
      <c r="Z700" s="1"/>
      <c r="AA700" s="1"/>
      <c r="AB700" s="1"/>
      <c r="AC700" s="1"/>
      <c r="AD700" s="1"/>
      <c r="AE700" s="13"/>
    </row>
    <row r="701" spans="1:31" ht="16.5" hidden="1" customHeight="1" thickBot="1">
      <c r="B701" s="103"/>
      <c r="C701" s="372"/>
      <c r="D701" s="514"/>
      <c r="E701" s="515"/>
      <c r="F701" s="515"/>
      <c r="G701" s="515"/>
      <c r="H701" s="515"/>
      <c r="I701" s="515"/>
      <c r="J701" s="515"/>
      <c r="K701" s="515"/>
      <c r="L701" s="515"/>
      <c r="M701" s="515"/>
      <c r="N701" s="515"/>
      <c r="O701" s="516"/>
      <c r="P701" s="1"/>
      <c r="T701" s="14"/>
      <c r="U701" s="490"/>
      <c r="V701" s="490"/>
      <c r="W701" s="490"/>
      <c r="X701" s="490"/>
      <c r="Y701" s="490"/>
      <c r="Z701" s="1"/>
      <c r="AA701" s="1"/>
      <c r="AB701" s="1"/>
      <c r="AC701" s="1"/>
      <c r="AD701" s="1"/>
      <c r="AE701" s="13"/>
    </row>
    <row r="702" spans="1:31" ht="16.5" hidden="1" customHeight="1">
      <c r="B702" s="103"/>
      <c r="C702" s="372"/>
      <c r="D702" s="565" t="s">
        <v>528</v>
      </c>
      <c r="E702" s="565"/>
      <c r="F702" s="565"/>
      <c r="G702" s="565"/>
      <c r="H702" s="565"/>
      <c r="I702" s="565"/>
      <c r="J702" s="565"/>
      <c r="K702" s="565"/>
      <c r="L702" s="565"/>
      <c r="M702" s="565"/>
      <c r="N702" s="565"/>
      <c r="O702" s="565"/>
      <c r="P702" s="1"/>
      <c r="T702" s="14"/>
      <c r="U702" s="367"/>
      <c r="V702" s="367"/>
      <c r="W702" s="367"/>
      <c r="X702" s="367"/>
      <c r="Y702" s="367"/>
      <c r="Z702" s="1"/>
      <c r="AA702" s="1"/>
      <c r="AB702" s="1"/>
      <c r="AC702" s="1"/>
      <c r="AD702" s="1"/>
      <c r="AE702" s="13"/>
    </row>
    <row r="703" spans="1:31" ht="16.5" hidden="1" customHeight="1">
      <c r="B703" s="103"/>
      <c r="C703" s="169"/>
      <c r="D703" s="174"/>
      <c r="E703" s="174"/>
      <c r="F703" s="174"/>
      <c r="G703" s="174"/>
      <c r="H703" s="174"/>
      <c r="I703" s="174"/>
      <c r="J703" s="174"/>
      <c r="K703" s="174"/>
      <c r="L703" s="174"/>
      <c r="M703" s="174"/>
      <c r="N703" s="174"/>
      <c r="O703" s="174"/>
      <c r="P703" s="1"/>
      <c r="T703" s="14"/>
      <c r="U703" s="367"/>
      <c r="V703" s="367"/>
      <c r="W703" s="367"/>
      <c r="X703" s="367"/>
      <c r="Y703" s="367"/>
      <c r="Z703" s="1"/>
      <c r="AA703" s="1"/>
      <c r="AB703" s="1"/>
      <c r="AC703" s="1"/>
      <c r="AD703" s="1"/>
      <c r="AE703" s="13"/>
    </row>
    <row r="704" spans="1:31" ht="16.5" hidden="1" customHeight="1">
      <c r="B704" s="103"/>
      <c r="C704" s="372"/>
      <c r="D704" s="365"/>
      <c r="E704" s="365"/>
      <c r="F704" s="365"/>
      <c r="G704" s="365"/>
      <c r="H704" s="365"/>
      <c r="I704" s="365"/>
      <c r="J704" s="365"/>
      <c r="K704" s="365"/>
      <c r="L704" s="365"/>
      <c r="M704" s="365"/>
      <c r="N704" s="365"/>
      <c r="O704" s="365"/>
      <c r="P704" s="1"/>
      <c r="T704" s="14"/>
      <c r="U704" s="1"/>
      <c r="V704" s="1"/>
      <c r="W704" s="1"/>
      <c r="X704" s="1"/>
      <c r="Y704" s="1"/>
      <c r="Z704" s="1"/>
      <c r="AA704" s="1"/>
      <c r="AB704" s="1"/>
      <c r="AC704" s="1"/>
      <c r="AD704" s="1"/>
      <c r="AE704" s="13"/>
    </row>
    <row r="705" spans="2:31" ht="16.5" hidden="1" customHeight="1">
      <c r="B705" s="103"/>
      <c r="C705" s="529" t="s">
        <v>511</v>
      </c>
      <c r="D705" s="529"/>
      <c r="E705" s="529"/>
      <c r="F705" s="529"/>
      <c r="G705" s="529"/>
      <c r="H705" s="529"/>
      <c r="I705" s="529"/>
      <c r="J705" s="529"/>
      <c r="K705" s="529"/>
      <c r="L705" s="529"/>
      <c r="M705" s="529"/>
      <c r="N705" s="529"/>
      <c r="O705" s="529"/>
      <c r="P705" s="1"/>
      <c r="T705" s="14"/>
      <c r="U705" s="1"/>
      <c r="V705" s="1"/>
      <c r="W705" s="1"/>
      <c r="X705" s="1"/>
      <c r="Y705" s="1"/>
      <c r="Z705" s="1"/>
      <c r="AA705" s="1"/>
      <c r="AB705" s="1"/>
      <c r="AC705" s="1"/>
      <c r="AD705" s="1"/>
      <c r="AE705" s="13"/>
    </row>
    <row r="706" spans="2:31" ht="16.5" hidden="1" customHeight="1">
      <c r="B706" s="103"/>
      <c r="C706" s="529"/>
      <c r="D706" s="529"/>
      <c r="E706" s="529"/>
      <c r="F706" s="529"/>
      <c r="G706" s="529"/>
      <c r="H706" s="529"/>
      <c r="I706" s="529"/>
      <c r="J706" s="529"/>
      <c r="K706" s="529"/>
      <c r="L706" s="529"/>
      <c r="M706" s="529"/>
      <c r="N706" s="529"/>
      <c r="O706" s="529"/>
      <c r="P706" s="1"/>
      <c r="T706" s="14"/>
      <c r="U706" s="1"/>
      <c r="V706" s="1"/>
      <c r="W706" s="1"/>
      <c r="X706" s="1"/>
      <c r="Y706" s="1"/>
      <c r="Z706" s="1"/>
      <c r="AA706" s="1"/>
      <c r="AB706" s="1"/>
      <c r="AC706" s="1"/>
      <c r="AD706" s="1"/>
      <c r="AE706" s="13"/>
    </row>
    <row r="707" spans="2:31" ht="16.5" hidden="1" customHeight="1">
      <c r="B707" s="173"/>
      <c r="C707" s="372"/>
      <c r="D707" s="306"/>
      <c r="E707" s="528" t="str">
        <f>IF(AB694="NON","",IF(AB692=TRUE,"","L'entreprise n'a pas été en fermeture Administrative avec 20 % de perte de CA ou fermeture Administrative de 21 jours avec 50 % de perte  de CA"))</f>
        <v>L'entreprise n'a pas été en fermeture Administrative avec 20 % de perte de CA ou fermeture Administrative de 21 jours avec 50 % de perte  de CA</v>
      </c>
      <c r="F707" s="528"/>
      <c r="G707" s="528"/>
      <c r="H707" s="528"/>
      <c r="I707" s="528"/>
      <c r="J707" s="528"/>
      <c r="K707" s="528"/>
      <c r="L707" s="528"/>
      <c r="M707" s="528"/>
      <c r="N707" s="528"/>
      <c r="O707" s="528"/>
      <c r="P707" s="1"/>
      <c r="T707" s="14"/>
      <c r="U707" s="502" t="s">
        <v>82</v>
      </c>
      <c r="V707" s="502"/>
      <c r="W707" s="502"/>
      <c r="X707" s="502"/>
      <c r="Y707" s="502"/>
      <c r="Z707" s="68"/>
      <c r="AA707" s="1"/>
      <c r="AB707" s="1">
        <f>IFERROR(IF(AB674="Non",0,IF(AND(AB693=TRUE,AB677&gt;=0.5),IF(AB676&gt;Annexes!O5,Annexes!O5,ROUND(AB676,0)),0)),0)</f>
        <v>0</v>
      </c>
      <c r="AC707" s="1"/>
      <c r="AD707" s="1"/>
      <c r="AE707" s="13"/>
    </row>
    <row r="708" spans="2:31" ht="16.5" hidden="1" customHeight="1">
      <c r="B708" s="173"/>
      <c r="C708" s="372"/>
      <c r="D708" s="306"/>
      <c r="E708" s="528"/>
      <c r="F708" s="528"/>
      <c r="G708" s="528"/>
      <c r="H708" s="528"/>
      <c r="I708" s="528"/>
      <c r="J708" s="528"/>
      <c r="K708" s="528"/>
      <c r="L708" s="528"/>
      <c r="M708" s="528"/>
      <c r="N708" s="528"/>
      <c r="O708" s="528"/>
      <c r="P708" s="1"/>
      <c r="T708" s="14"/>
      <c r="U708" s="502" t="s">
        <v>478</v>
      </c>
      <c r="V708" s="502"/>
      <c r="W708" s="502"/>
      <c r="X708" s="502"/>
      <c r="Y708" s="502"/>
      <c r="Z708" s="68"/>
      <c r="AA708" s="1"/>
      <c r="AB708" s="1">
        <f>IFERROR(IF(AB694="NON",0,IF(OR(AB689="OUI",AB691="OUI",AND(AB690="OUI",OR(AB684&lt;Annexes!P5,AB685&lt;Annexes!P5,'Mes Aides'!AB198&lt;0.1))),IF(AND(0.2*AB699,0.2*AB698)&lt;Annexes!O8,Annexes!O8,IF(0.2*AB699&gt;=0.2*AB698,ROUND(0.2*AB698,0),ROUND(0.2*AB699,0))),0)),0)</f>
        <v>0</v>
      </c>
      <c r="AC708" s="1"/>
      <c r="AD708" s="1"/>
      <c r="AE708" s="13"/>
    </row>
    <row r="709" spans="2:31" ht="15" hidden="1" customHeight="1">
      <c r="B709" s="173"/>
      <c r="C709" s="372"/>
      <c r="D709" s="306"/>
      <c r="E709" s="353"/>
      <c r="F709" s="353"/>
      <c r="G709" s="353"/>
      <c r="H709" s="353"/>
      <c r="I709" s="353"/>
      <c r="J709" s="353"/>
      <c r="K709" s="353"/>
      <c r="L709" s="353"/>
      <c r="M709" s="353"/>
      <c r="N709" s="353"/>
      <c r="O709" s="353"/>
      <c r="P709" s="1"/>
      <c r="T709" s="14"/>
      <c r="U709" s="502" t="s">
        <v>478</v>
      </c>
      <c r="V709" s="502"/>
      <c r="W709" s="502"/>
      <c r="X709" s="502"/>
      <c r="Y709" s="502"/>
      <c r="Z709" s="68"/>
      <c r="AA709" s="1"/>
      <c r="AB709" s="1">
        <f>IFERROR(IF(AB694="NON",0,IF(AB692=TRUE,IF(AB698*0.2&gt;Annexes!O8,Annexes!O8,ROUND(AB698*0.2,0)),0)),0)</f>
        <v>0</v>
      </c>
      <c r="AC709" s="1"/>
      <c r="AD709" s="1"/>
      <c r="AE709" s="13"/>
    </row>
    <row r="710" spans="2:31" ht="15" hidden="1" customHeight="1">
      <c r="B710" s="173"/>
      <c r="C710" s="372"/>
      <c r="D710" s="417" t="str">
        <f>IFERROR(IF('Mon Entreprise'!K8&gt;=Annexes!O20,IF(AB662&gt;=AB664,"- Le CA de référence est celui de Septembre 2019, soit une perte de "&amp;ROUND(AB662,0)&amp;" €"&amp;" ==&gt; "&amp;ROUND(AE662*100,0)&amp;" %","- Le CA de référence est celui de la création, soit une perte de "&amp;ROUND(AB664,0)&amp;" €"&amp;" ==&gt; "&amp;ROUND(AE664*100,0)&amp;" %"),IF(AB662&gt;=AB663,"- Le CA de référence est celui de Septembre 2019, soit une perte de "&amp;ROUND(AB662,0)&amp;" €"&amp;" ==&gt; "&amp;ROUND(AE662*100,0)&amp;" %","- Le CA de référence est celui de l'exercice 2019, soit une perte de "&amp;ROUND(AB663,0)&amp;" €"&amp;" ==&gt; "&amp;ROUND(AE663*100,0)&amp;" %")),"")</f>
        <v>- Le CA de référence est celui de Septembre 2019, soit une perte de 0 € ==&gt; 0 %</v>
      </c>
      <c r="E710" s="417"/>
      <c r="F710" s="417"/>
      <c r="G710" s="417"/>
      <c r="H710" s="417"/>
      <c r="I710" s="417"/>
      <c r="J710" s="417"/>
      <c r="K710" s="417"/>
      <c r="L710" s="417"/>
      <c r="M710" s="417"/>
      <c r="N710" s="417"/>
      <c r="O710" s="417"/>
      <c r="P710" s="365"/>
      <c r="Q710" s="365"/>
      <c r="T710" s="14"/>
      <c r="U710" s="1"/>
      <c r="V710" s="1"/>
      <c r="W710" s="1"/>
      <c r="X710" s="1"/>
      <c r="Y710" s="1"/>
      <c r="Z710" s="1"/>
      <c r="AA710" s="1"/>
      <c r="AB710" s="1"/>
      <c r="AC710" s="1"/>
      <c r="AD710" s="1"/>
      <c r="AE710" s="13"/>
    </row>
    <row r="711" spans="2:31" ht="16.5" hidden="1" customHeight="1">
      <c r="B711" s="173"/>
      <c r="C711" s="372"/>
      <c r="D711" s="524" t="str">
        <f>IFERROR(IF('Mon Entreprise'!K8&gt;=Annexes!O20,"",IF(AB662&lt;AB663,"A noter qu'il convient de choisir l'option retenue par l'entreprise lors de"&amp;" sa demande au titre du mois Février ou a défaut celui du mois de Mars, Avril, Mai, Juin, Juillet ou d'Août 2021, si le CA de référence était celui de février (...) 2019, il convient"&amp;" de prendre celui de Septembre 2019 (...), soit "&amp;ROUND(AB662,0)&amp;" €"&amp;" ==&gt; "&amp;ROUND(AE662*100,0)&amp;" %","A noter qu'il convient de choisir l'option"&amp;" retenue par l'entreprise lors de sa demande au titre du mois Février "&amp;"ou a défaut celui du mois de Mars, d'Avril, Mai, Juin, Juillet ou Août 2021, si le CA de référence était celui de l'exercice 2019, il convient de prendre"&amp;" celui de l'exercie 2019, soit une perte de "&amp;ROUND(AB663,0)&amp;" €"&amp;" ==&gt; "&amp;ROUND(AE663*100,0)&amp;" %")),"")</f>
        <v>A noter qu'il convient de choisir l'option retenue par l'entreprise lors de sa demande au titre du mois Février ou a défaut celui du mois de Mars, d'Avril, Mai, Juin, Juillet ou Août 2021, si le CA de référence était celui de l'exercice 2019, il convient de prendre celui de l'exercie 2019, soit une perte de 0 € ==&gt; 0 %</v>
      </c>
      <c r="E711" s="524"/>
      <c r="F711" s="524"/>
      <c r="G711" s="524"/>
      <c r="H711" s="524"/>
      <c r="I711" s="524"/>
      <c r="J711" s="524"/>
      <c r="K711" s="524"/>
      <c r="L711" s="524"/>
      <c r="M711" s="524"/>
      <c r="N711" s="524"/>
      <c r="O711" s="524"/>
      <c r="P711" s="365"/>
      <c r="Q711" s="365"/>
      <c r="T711" s="14"/>
      <c r="U711" s="1"/>
      <c r="V711" s="1"/>
      <c r="W711" s="1"/>
      <c r="X711" s="1"/>
      <c r="Y711" s="1"/>
      <c r="Z711" s="1"/>
      <c r="AA711" s="1"/>
      <c r="AB711" s="1"/>
      <c r="AC711" s="1"/>
      <c r="AD711" s="1"/>
      <c r="AE711" s="13"/>
    </row>
    <row r="712" spans="2:31" ht="16.5" hidden="1" customHeight="1">
      <c r="B712" s="173"/>
      <c r="C712" s="372"/>
      <c r="D712" s="524"/>
      <c r="E712" s="524"/>
      <c r="F712" s="524"/>
      <c r="G712" s="524"/>
      <c r="H712" s="524"/>
      <c r="I712" s="524"/>
      <c r="J712" s="524"/>
      <c r="K712" s="524"/>
      <c r="L712" s="524"/>
      <c r="M712" s="524"/>
      <c r="N712" s="524"/>
      <c r="O712" s="524"/>
      <c r="P712" s="365"/>
      <c r="Q712" s="365"/>
      <c r="T712" s="14"/>
      <c r="U712" s="1"/>
      <c r="V712" s="1"/>
      <c r="W712" s="1"/>
      <c r="X712" s="1"/>
      <c r="Y712" s="1"/>
      <c r="Z712" s="1"/>
      <c r="AA712" s="1"/>
      <c r="AB712" s="1"/>
      <c r="AC712" s="1"/>
      <c r="AD712" s="1"/>
      <c r="AE712" s="13"/>
    </row>
    <row r="713" spans="2:31" ht="16.5" hidden="1" customHeight="1" thickBot="1">
      <c r="B713" s="168"/>
      <c r="C713" s="372"/>
      <c r="D713" s="205"/>
      <c r="E713" s="365"/>
      <c r="F713" s="365"/>
      <c r="G713" s="365"/>
      <c r="H713" s="365"/>
      <c r="I713" s="365"/>
      <c r="J713" s="365"/>
      <c r="K713" s="365"/>
      <c r="L713" s="365"/>
      <c r="M713" s="365"/>
      <c r="N713" s="365"/>
      <c r="O713" s="365"/>
      <c r="P713" s="365"/>
      <c r="Q713" s="365"/>
      <c r="T713" s="14"/>
      <c r="U713" s="1"/>
      <c r="V713" s="1"/>
      <c r="W713" s="1"/>
      <c r="X713" s="1"/>
      <c r="Y713" s="1"/>
      <c r="Z713" s="1"/>
      <c r="AA713" s="1"/>
      <c r="AB713" s="1"/>
      <c r="AC713" s="1"/>
      <c r="AD713" s="1"/>
      <c r="AE713" s="13"/>
    </row>
    <row r="714" spans="2:31" ht="16.5" hidden="1" customHeight="1">
      <c r="B714" s="103"/>
      <c r="C714" s="180"/>
      <c r="D714" s="526" t="str">
        <f>IFERROR(IF(AB694="NON","Vous avez débuté votre activité après le 31 Janvier 2020, vous ne pouvez donc pas bénéficier de cette aide",IF(AB692=TRUE,IF(AB698*0.2&gt;Annexes!O8,"Dans votre cas, l'aide est plafonnée, à "&amp;Annexes!O8&amp;" € pour le mois de Septembre","Dans votre cas, l'aide est plafonnée à 20 % du CA, soit "&amp;ROUND(AB698*0.2,0)&amp;" € pour le mois de Septembre"),"Vous ne faites pas partie des entreprises en fermeture Administrative avec 20 % de perte de CA ou fermeture Administrative avec 20 % de perte de CA ou en fermeture Administrative de 21 jours avec 50 % de perte de CA")),"Vous n'avez pas indiqué de chiffre d'affaires de référence")</f>
        <v>Vous ne faites pas partie des entreprises en fermeture Administrative avec 20 % de perte de CA ou fermeture Administrative avec 20 % de perte de CA ou en fermeture Administrative de 21 jours avec 50 % de perte de CA</v>
      </c>
      <c r="E714" s="509"/>
      <c r="F714" s="509"/>
      <c r="G714" s="509"/>
      <c r="H714" s="509"/>
      <c r="I714" s="509"/>
      <c r="J714" s="509"/>
      <c r="K714" s="509"/>
      <c r="L714" s="509"/>
      <c r="M714" s="509"/>
      <c r="N714" s="509"/>
      <c r="O714" s="510"/>
      <c r="P714" s="365"/>
      <c r="Q714" s="365"/>
      <c r="T714" s="14"/>
      <c r="U714" s="1"/>
      <c r="V714" s="1"/>
      <c r="W714" s="1"/>
      <c r="X714" s="1"/>
      <c r="Y714" s="1"/>
      <c r="Z714" s="1"/>
      <c r="AA714" s="1"/>
      <c r="AB714" s="1"/>
      <c r="AC714" s="1"/>
      <c r="AD714" s="1"/>
      <c r="AE714" s="13"/>
    </row>
    <row r="715" spans="2:31" ht="16.5" hidden="1" customHeight="1">
      <c r="B715" s="103"/>
      <c r="C715" s="180"/>
      <c r="D715" s="511"/>
      <c r="E715" s="512"/>
      <c r="F715" s="512"/>
      <c r="G715" s="512"/>
      <c r="H715" s="512"/>
      <c r="I715" s="512"/>
      <c r="J715" s="512"/>
      <c r="K715" s="512"/>
      <c r="L715" s="512"/>
      <c r="M715" s="512"/>
      <c r="N715" s="512"/>
      <c r="O715" s="513"/>
      <c r="P715" s="365"/>
      <c r="Q715" s="365"/>
      <c r="T715" s="14"/>
      <c r="U715" s="1"/>
      <c r="V715" s="1"/>
      <c r="W715" s="1"/>
      <c r="X715" s="1"/>
      <c r="Y715" s="1"/>
      <c r="Z715" s="1"/>
      <c r="AA715" s="1"/>
      <c r="AB715" s="1"/>
      <c r="AC715" s="1"/>
      <c r="AD715" s="1"/>
      <c r="AE715" s="13"/>
    </row>
    <row r="716" spans="2:31" ht="16.5" hidden="1" customHeight="1">
      <c r="B716" s="103"/>
      <c r="C716" s="180"/>
      <c r="D716" s="511"/>
      <c r="E716" s="512"/>
      <c r="F716" s="512"/>
      <c r="G716" s="512"/>
      <c r="H716" s="512"/>
      <c r="I716" s="512"/>
      <c r="J716" s="512"/>
      <c r="K716" s="512"/>
      <c r="L716" s="512"/>
      <c r="M716" s="512"/>
      <c r="N716" s="512"/>
      <c r="O716" s="513"/>
      <c r="P716" s="175"/>
      <c r="Q716" s="175"/>
      <c r="T716" s="14"/>
      <c r="U716" s="1"/>
      <c r="V716" s="1"/>
      <c r="W716" s="1"/>
      <c r="X716" s="1"/>
      <c r="Y716" s="1"/>
      <c r="Z716" s="1"/>
      <c r="AA716" s="1"/>
      <c r="AB716" s="1"/>
      <c r="AC716" s="1"/>
      <c r="AD716" s="1"/>
      <c r="AE716" s="13"/>
    </row>
    <row r="717" spans="2:31" ht="16.5" hidden="1" customHeight="1" thickBot="1">
      <c r="B717" s="103"/>
      <c r="C717" s="180"/>
      <c r="D717" s="514"/>
      <c r="E717" s="515"/>
      <c r="F717" s="515"/>
      <c r="G717" s="515"/>
      <c r="H717" s="515"/>
      <c r="I717" s="515"/>
      <c r="J717" s="515"/>
      <c r="K717" s="515"/>
      <c r="L717" s="515"/>
      <c r="M717" s="515"/>
      <c r="N717" s="515"/>
      <c r="O717" s="516"/>
      <c r="T717" s="14"/>
      <c r="U717" s="1"/>
      <c r="V717" s="1"/>
      <c r="W717" s="1"/>
      <c r="X717" s="1"/>
      <c r="Y717" s="1"/>
      <c r="Z717" s="1"/>
      <c r="AA717" s="1"/>
      <c r="AB717" s="1"/>
      <c r="AC717" s="1"/>
      <c r="AD717" s="1"/>
      <c r="AE717" s="13"/>
    </row>
    <row r="718" spans="2:31" ht="16.5" hidden="1" customHeight="1">
      <c r="B718" s="5"/>
      <c r="C718" s="5"/>
      <c r="D718" s="354"/>
      <c r="E718" s="354"/>
      <c r="F718" s="354"/>
      <c r="G718" s="354"/>
      <c r="H718" s="354"/>
      <c r="I718" s="354"/>
      <c r="J718" s="354"/>
      <c r="K718" s="354"/>
      <c r="L718" s="354"/>
      <c r="M718" s="354"/>
      <c r="N718" s="354"/>
      <c r="O718" s="354"/>
      <c r="P718" s="177"/>
      <c r="Q718" s="177"/>
      <c r="T718" s="14"/>
      <c r="U718" s="1"/>
      <c r="V718" s="1"/>
      <c r="W718" s="1"/>
      <c r="X718" s="1"/>
      <c r="Y718" s="1"/>
      <c r="Z718" s="1"/>
      <c r="AA718" s="1"/>
      <c r="AB718" s="1"/>
      <c r="AC718" s="1"/>
      <c r="AD718" s="1"/>
      <c r="AE718" s="13"/>
    </row>
    <row r="719" spans="2:31" ht="16.5" hidden="1" customHeight="1">
      <c r="B719" s="5"/>
      <c r="C719" s="5"/>
      <c r="D719" s="355"/>
      <c r="E719" s="355"/>
      <c r="F719" s="355"/>
      <c r="G719" s="355"/>
      <c r="H719" s="355"/>
      <c r="I719" s="355"/>
      <c r="J719" s="355"/>
      <c r="K719" s="355"/>
      <c r="L719" s="355"/>
      <c r="M719" s="355"/>
      <c r="N719" s="355"/>
      <c r="O719" s="355"/>
      <c r="P719" s="177"/>
      <c r="Q719" s="177"/>
      <c r="T719" s="14"/>
      <c r="U719" s="1"/>
      <c r="V719" s="1"/>
      <c r="W719" s="1"/>
      <c r="X719" s="1"/>
      <c r="Y719" s="1"/>
      <c r="Z719" s="1"/>
      <c r="AA719" s="1"/>
      <c r="AB719" s="1"/>
      <c r="AC719" s="1"/>
      <c r="AD719" s="1"/>
      <c r="AE719" s="13"/>
    </row>
    <row r="720" spans="2:31">
      <c r="D720" s="177"/>
      <c r="E720" s="177"/>
      <c r="F720" s="177"/>
      <c r="G720" s="177"/>
      <c r="H720" s="177"/>
      <c r="I720" s="177"/>
      <c r="J720" s="177"/>
      <c r="K720" s="177"/>
      <c r="L720" s="177"/>
      <c r="M720" s="177"/>
      <c r="N720" s="177"/>
      <c r="O720" s="177"/>
      <c r="P720" s="175"/>
      <c r="Q720" s="175"/>
      <c r="T720" s="14"/>
      <c r="U720" s="1"/>
      <c r="V720" s="1"/>
      <c r="W720" s="1"/>
      <c r="X720" s="1"/>
      <c r="Y720" s="1"/>
      <c r="Z720" s="1"/>
      <c r="AA720" s="1"/>
      <c r="AB720" s="1"/>
      <c r="AC720" s="1"/>
      <c r="AD720" s="1"/>
      <c r="AE720" s="13"/>
    </row>
    <row r="721" spans="4:31" ht="15" customHeight="1"/>
    <row r="722" spans="4:31">
      <c r="D722" s="366" t="s">
        <v>69</v>
      </c>
    </row>
    <row r="723" spans="4:31">
      <c r="D723" s="177"/>
      <c r="E723" s="177"/>
      <c r="F723" s="177"/>
      <c r="G723" s="177"/>
      <c r="H723" s="177"/>
      <c r="I723" s="177"/>
      <c r="J723" s="177"/>
      <c r="K723" s="177"/>
      <c r="L723" s="177"/>
      <c r="M723" s="177"/>
      <c r="N723" s="177"/>
      <c r="O723" s="177"/>
      <c r="P723" s="175"/>
      <c r="Q723" s="175"/>
      <c r="T723" s="14"/>
      <c r="U723" s="1"/>
      <c r="V723" s="1"/>
      <c r="W723" s="1"/>
      <c r="X723" s="1"/>
      <c r="Y723" s="1"/>
      <c r="Z723" s="1"/>
      <c r="AA723" s="1"/>
      <c r="AB723" s="1"/>
      <c r="AC723" s="1"/>
      <c r="AD723" s="1"/>
      <c r="AE723" s="13"/>
    </row>
    <row r="724" spans="4:31" ht="15" customHeight="1"/>
    <row r="725" spans="4:31">
      <c r="D725" s="366"/>
    </row>
  </sheetData>
  <sheetProtection password="C6BD" sheet="1" selectLockedCells="1" selectUnlockedCells="1"/>
  <mergeCells count="499">
    <mergeCell ref="C658:H658"/>
    <mergeCell ref="C660:O660"/>
    <mergeCell ref="U660:W660"/>
    <mergeCell ref="T662:W662"/>
    <mergeCell ref="D663:O668"/>
    <mergeCell ref="T663:W663"/>
    <mergeCell ref="T664:W664"/>
    <mergeCell ref="D669:O670"/>
    <mergeCell ref="C673:O674"/>
    <mergeCell ref="U674:Y674"/>
    <mergeCell ref="V675:Y675"/>
    <mergeCell ref="D676:O678"/>
    <mergeCell ref="U676:Y676"/>
    <mergeCell ref="U677:Y677"/>
    <mergeCell ref="D680:O683"/>
    <mergeCell ref="D684:O684"/>
    <mergeCell ref="T684:Y684"/>
    <mergeCell ref="U685:Y685"/>
    <mergeCell ref="C686:O689"/>
    <mergeCell ref="U686:Y686"/>
    <mergeCell ref="U689:Y689"/>
    <mergeCell ref="D690:O690"/>
    <mergeCell ref="E691:O692"/>
    <mergeCell ref="T691:Y691"/>
    <mergeCell ref="T692:Y692"/>
    <mergeCell ref="D693:O693"/>
    <mergeCell ref="D694:O695"/>
    <mergeCell ref="U694:Y694"/>
    <mergeCell ref="U695:Y695"/>
    <mergeCell ref="U696:Y696"/>
    <mergeCell ref="U697:Y697"/>
    <mergeCell ref="D698:O701"/>
    <mergeCell ref="U698:Y698"/>
    <mergeCell ref="U699:Y699"/>
    <mergeCell ref="U701:Y701"/>
    <mergeCell ref="D702:O702"/>
    <mergeCell ref="C705:O706"/>
    <mergeCell ref="E707:O708"/>
    <mergeCell ref="U707:Y707"/>
    <mergeCell ref="U708:Y708"/>
    <mergeCell ref="U709:Y709"/>
    <mergeCell ref="D710:O710"/>
    <mergeCell ref="D711:O712"/>
    <mergeCell ref="D714:O717"/>
    <mergeCell ref="D628:O628"/>
    <mergeCell ref="D568:O568"/>
    <mergeCell ref="D509:O509"/>
    <mergeCell ref="D640:O640"/>
    <mergeCell ref="U382:Y382"/>
    <mergeCell ref="D383:O383"/>
    <mergeCell ref="D384:O385"/>
    <mergeCell ref="C536:H536"/>
    <mergeCell ref="D475:O476"/>
    <mergeCell ref="D465:O465"/>
    <mergeCell ref="D466:O467"/>
    <mergeCell ref="D468:O469"/>
    <mergeCell ref="D471:O474"/>
    <mergeCell ref="D528:O529"/>
    <mergeCell ref="D531:O534"/>
    <mergeCell ref="U516:Y516"/>
    <mergeCell ref="D517:O520"/>
    <mergeCell ref="U517:Y517"/>
    <mergeCell ref="U518:Y518"/>
    <mergeCell ref="U520:Y520"/>
    <mergeCell ref="U376:Y376"/>
    <mergeCell ref="U378:Y378"/>
    <mergeCell ref="U381:Y381"/>
    <mergeCell ref="T418:W418"/>
    <mergeCell ref="D419:O424"/>
    <mergeCell ref="T419:W419"/>
    <mergeCell ref="T420:W420"/>
    <mergeCell ref="E462:O464"/>
    <mergeCell ref="U462:Y462"/>
    <mergeCell ref="U463:Y463"/>
    <mergeCell ref="U464:Y464"/>
    <mergeCell ref="D448:O449"/>
    <mergeCell ref="U448:Y448"/>
    <mergeCell ref="U449:Y449"/>
    <mergeCell ref="U450:Y450"/>
    <mergeCell ref="U451:Y451"/>
    <mergeCell ref="D452:O455"/>
    <mergeCell ref="U452:Y452"/>
    <mergeCell ref="U453:Y453"/>
    <mergeCell ref="U455:Y455"/>
    <mergeCell ref="C458:O461"/>
    <mergeCell ref="C350:H350"/>
    <mergeCell ref="D306:O309"/>
    <mergeCell ref="E316:O318"/>
    <mergeCell ref="T316:Y316"/>
    <mergeCell ref="U317:Y317"/>
    <mergeCell ref="D347:O348"/>
    <mergeCell ref="U318:Y318"/>
    <mergeCell ref="D310:O310"/>
    <mergeCell ref="D320:O321"/>
    <mergeCell ref="D319:O319"/>
    <mergeCell ref="U320:Y320"/>
    <mergeCell ref="U321:Y321"/>
    <mergeCell ref="U322:Y322"/>
    <mergeCell ref="D324:O327"/>
    <mergeCell ref="U323:Y323"/>
    <mergeCell ref="U324:Y324"/>
    <mergeCell ref="U325:Y325"/>
    <mergeCell ref="U327:Y327"/>
    <mergeCell ref="U303:Y303"/>
    <mergeCell ref="D303:O304"/>
    <mergeCell ref="V302:Y302"/>
    <mergeCell ref="U304:Y304"/>
    <mergeCell ref="D411:O412"/>
    <mergeCell ref="C330:O333"/>
    <mergeCell ref="U334:Y334"/>
    <mergeCell ref="E334:O336"/>
    <mergeCell ref="U335:Y335"/>
    <mergeCell ref="U336:Y336"/>
    <mergeCell ref="D337:O337"/>
    <mergeCell ref="D340:O341"/>
    <mergeCell ref="D343:O346"/>
    <mergeCell ref="U384:Y384"/>
    <mergeCell ref="U385:Y385"/>
    <mergeCell ref="U386:Y386"/>
    <mergeCell ref="D367:O368"/>
    <mergeCell ref="U367:Y367"/>
    <mergeCell ref="U368:Y368"/>
    <mergeCell ref="D370:O373"/>
    <mergeCell ref="D374:O374"/>
    <mergeCell ref="T374:Y374"/>
    <mergeCell ref="U375:Y375"/>
    <mergeCell ref="D338:O339"/>
    <mergeCell ref="D259:O259"/>
    <mergeCell ref="C286:H286"/>
    <mergeCell ref="C288:O288"/>
    <mergeCell ref="U288:W288"/>
    <mergeCell ref="D291:O296"/>
    <mergeCell ref="T290:W290"/>
    <mergeCell ref="T291:W291"/>
    <mergeCell ref="T292:W292"/>
    <mergeCell ref="U301:Y301"/>
    <mergeCell ref="D250:O250"/>
    <mergeCell ref="U263:Y263"/>
    <mergeCell ref="C252:O255"/>
    <mergeCell ref="U251:Y251"/>
    <mergeCell ref="U252:Y252"/>
    <mergeCell ref="U254:Y254"/>
    <mergeCell ref="E256:O258"/>
    <mergeCell ref="T310:Y310"/>
    <mergeCell ref="C312:O315"/>
    <mergeCell ref="U311:Y311"/>
    <mergeCell ref="U312:Y312"/>
    <mergeCell ref="U314:Y314"/>
    <mergeCell ref="D275:O275"/>
    <mergeCell ref="D276:O277"/>
    <mergeCell ref="D279:O282"/>
    <mergeCell ref="C268:O271"/>
    <mergeCell ref="E272:O274"/>
    <mergeCell ref="U271:Y271"/>
    <mergeCell ref="U272:Y272"/>
    <mergeCell ref="U266:Y266"/>
    <mergeCell ref="U273:Y273"/>
    <mergeCell ref="U264:Y264"/>
    <mergeCell ref="U257:Y257"/>
    <mergeCell ref="T256:Y256"/>
    <mergeCell ref="U23:W23"/>
    <mergeCell ref="U49:Y49"/>
    <mergeCell ref="U48:Y48"/>
    <mergeCell ref="U51:Y51"/>
    <mergeCell ref="U50:Y50"/>
    <mergeCell ref="U61:Y61"/>
    <mergeCell ref="U60:Y60"/>
    <mergeCell ref="U54:Y54"/>
    <mergeCell ref="U53:Y53"/>
    <mergeCell ref="U52:Y52"/>
    <mergeCell ref="U55:Y55"/>
    <mergeCell ref="U56:Y56"/>
    <mergeCell ref="T44:W44"/>
    <mergeCell ref="T43:W43"/>
    <mergeCell ref="T42:W42"/>
    <mergeCell ref="U40:W40"/>
    <mergeCell ref="U29:Y29"/>
    <mergeCell ref="U30:Y30"/>
    <mergeCell ref="U62:Y62"/>
    <mergeCell ref="D64:O65"/>
    <mergeCell ref="D69:O72"/>
    <mergeCell ref="T77:W77"/>
    <mergeCell ref="U82:Y82"/>
    <mergeCell ref="U258:Y258"/>
    <mergeCell ref="U259:Y259"/>
    <mergeCell ref="U260:Y260"/>
    <mergeCell ref="D262:O265"/>
    <mergeCell ref="U261:Y261"/>
    <mergeCell ref="U262:Y262"/>
    <mergeCell ref="U241:Y241"/>
    <mergeCell ref="U243:Y243"/>
    <mergeCell ref="U244:Y244"/>
    <mergeCell ref="D246:O249"/>
    <mergeCell ref="T250:Y250"/>
    <mergeCell ref="C230:H230"/>
    <mergeCell ref="C232:O232"/>
    <mergeCell ref="U231:W231"/>
    <mergeCell ref="D235:O239"/>
    <mergeCell ref="T233:W233"/>
    <mergeCell ref="T234:W234"/>
    <mergeCell ref="T235:W235"/>
    <mergeCell ref="V242:Y242"/>
    <mergeCell ref="F3:O6"/>
    <mergeCell ref="C62:O63"/>
    <mergeCell ref="B8:O8"/>
    <mergeCell ref="B9:O10"/>
    <mergeCell ref="B13:O13"/>
    <mergeCell ref="C23:I23"/>
    <mergeCell ref="C37:H37"/>
    <mergeCell ref="C20:H20"/>
    <mergeCell ref="D29:O33"/>
    <mergeCell ref="D42:O46"/>
    <mergeCell ref="C49:O50"/>
    <mergeCell ref="D52:O53"/>
    <mergeCell ref="B11:O11"/>
    <mergeCell ref="D56:O59"/>
    <mergeCell ref="B16:O17"/>
    <mergeCell ref="D80:O83"/>
    <mergeCell ref="T24:W24"/>
    <mergeCell ref="U137:Y137"/>
    <mergeCell ref="U144:Y144"/>
    <mergeCell ref="D92:O96"/>
    <mergeCell ref="D115:O118"/>
    <mergeCell ref="U92:W92"/>
    <mergeCell ref="T94:W94"/>
    <mergeCell ref="T95:W95"/>
    <mergeCell ref="T96:W96"/>
    <mergeCell ref="D102:O105"/>
    <mergeCell ref="C108:O109"/>
    <mergeCell ref="E110:O111"/>
    <mergeCell ref="U108:Y108"/>
    <mergeCell ref="U109:Y109"/>
    <mergeCell ref="U110:Y110"/>
    <mergeCell ref="U117:Y117"/>
    <mergeCell ref="U118:Y118"/>
    <mergeCell ref="U99:Y99"/>
    <mergeCell ref="C87:H87"/>
    <mergeCell ref="C89:O89"/>
    <mergeCell ref="U83:Y83"/>
    <mergeCell ref="U84:Y84"/>
    <mergeCell ref="U85:Y85"/>
    <mergeCell ref="U149:Y149"/>
    <mergeCell ref="U150:Y150"/>
    <mergeCell ref="U151:Y151"/>
    <mergeCell ref="U152:Y152"/>
    <mergeCell ref="T13:AE20"/>
    <mergeCell ref="T26:W26"/>
    <mergeCell ref="T25:W25"/>
    <mergeCell ref="T78:W78"/>
    <mergeCell ref="T79:W79"/>
    <mergeCell ref="U47:Y47"/>
    <mergeCell ref="T106:Y106"/>
    <mergeCell ref="U107:Y107"/>
    <mergeCell ref="U115:Y115"/>
    <mergeCell ref="U100:Y100"/>
    <mergeCell ref="U101:Y101"/>
    <mergeCell ref="U104:Y104"/>
    <mergeCell ref="U113:Y113"/>
    <mergeCell ref="U114:Y114"/>
    <mergeCell ref="U111:Y111"/>
    <mergeCell ref="U112:Y112"/>
    <mergeCell ref="U31:Y31"/>
    <mergeCell ref="U32:Y32"/>
    <mergeCell ref="U76:W76"/>
    <mergeCell ref="T46:Y46"/>
    <mergeCell ref="C122:H122"/>
    <mergeCell ref="C124:O124"/>
    <mergeCell ref="D127:O131"/>
    <mergeCell ref="U124:W124"/>
    <mergeCell ref="T126:W126"/>
    <mergeCell ref="T127:W127"/>
    <mergeCell ref="T128:W128"/>
    <mergeCell ref="U134:Y134"/>
    <mergeCell ref="U136:Y136"/>
    <mergeCell ref="V135:Y135"/>
    <mergeCell ref="C178:H178"/>
    <mergeCell ref="D171:O171"/>
    <mergeCell ref="B174:O175"/>
    <mergeCell ref="D138:O141"/>
    <mergeCell ref="C144:O146"/>
    <mergeCell ref="T143:Y143"/>
    <mergeCell ref="U146:Y146"/>
    <mergeCell ref="U147:Y147"/>
    <mergeCell ref="E147:O148"/>
    <mergeCell ref="D149:O149"/>
    <mergeCell ref="D167:O170"/>
    <mergeCell ref="U145:Y145"/>
    <mergeCell ref="D152:O155"/>
    <mergeCell ref="E161:O162"/>
    <mergeCell ref="D163:O163"/>
    <mergeCell ref="U153:Y153"/>
    <mergeCell ref="U154:Y154"/>
    <mergeCell ref="U156:Y156"/>
    <mergeCell ref="C158:O160"/>
    <mergeCell ref="D164:O165"/>
    <mergeCell ref="U161:Y161"/>
    <mergeCell ref="U162:Y162"/>
    <mergeCell ref="U160:Y160"/>
    <mergeCell ref="U148:Y148"/>
    <mergeCell ref="D183:O187"/>
    <mergeCell ref="T181:W181"/>
    <mergeCell ref="U199:Y199"/>
    <mergeCell ref="U202:Y202"/>
    <mergeCell ref="U189:Y189"/>
    <mergeCell ref="T180:W180"/>
    <mergeCell ref="T201:Y201"/>
    <mergeCell ref="U197:Y197"/>
    <mergeCell ref="T179:W179"/>
    <mergeCell ref="V188:Y188"/>
    <mergeCell ref="D119:O120"/>
    <mergeCell ref="U198:Y198"/>
    <mergeCell ref="U190:Y190"/>
    <mergeCell ref="D194:O197"/>
    <mergeCell ref="D223:O226"/>
    <mergeCell ref="D219:O219"/>
    <mergeCell ref="U214:Y214"/>
    <mergeCell ref="U203:Y203"/>
    <mergeCell ref="U204:Y204"/>
    <mergeCell ref="U205:Y205"/>
    <mergeCell ref="U206:Y206"/>
    <mergeCell ref="D205:O205"/>
    <mergeCell ref="D208:O211"/>
    <mergeCell ref="U207:Y207"/>
    <mergeCell ref="U215:Y215"/>
    <mergeCell ref="U208:Y208"/>
    <mergeCell ref="U210:Y210"/>
    <mergeCell ref="C214:O216"/>
    <mergeCell ref="E217:O218"/>
    <mergeCell ref="U216:Y216"/>
    <mergeCell ref="U187:Y187"/>
    <mergeCell ref="C180:O180"/>
    <mergeCell ref="U177:W177"/>
    <mergeCell ref="E203:O204"/>
    <mergeCell ref="D220:O221"/>
    <mergeCell ref="T196:Y196"/>
    <mergeCell ref="C200:O202"/>
    <mergeCell ref="D401:O401"/>
    <mergeCell ref="D402:O403"/>
    <mergeCell ref="D404:O405"/>
    <mergeCell ref="D407:O410"/>
    <mergeCell ref="U387:Y387"/>
    <mergeCell ref="D388:O391"/>
    <mergeCell ref="U388:Y388"/>
    <mergeCell ref="U389:Y389"/>
    <mergeCell ref="U391:Y391"/>
    <mergeCell ref="C394:O397"/>
    <mergeCell ref="E398:O400"/>
    <mergeCell ref="U398:Y398"/>
    <mergeCell ref="U399:Y399"/>
    <mergeCell ref="U400:Y400"/>
    <mergeCell ref="E380:O382"/>
    <mergeCell ref="T380:Y380"/>
    <mergeCell ref="C352:O352"/>
    <mergeCell ref="U352:W352"/>
    <mergeCell ref="T354:W354"/>
    <mergeCell ref="D355:O360"/>
    <mergeCell ref="T355:W355"/>
    <mergeCell ref="T356:W356"/>
    <mergeCell ref="U365:Y365"/>
    <mergeCell ref="V366:Y366"/>
    <mergeCell ref="D447:O447"/>
    <mergeCell ref="D434:O437"/>
    <mergeCell ref="D438:O438"/>
    <mergeCell ref="T438:Y438"/>
    <mergeCell ref="U439:Y439"/>
    <mergeCell ref="C440:O443"/>
    <mergeCell ref="U440:Y440"/>
    <mergeCell ref="U442:Y442"/>
    <mergeCell ref="E444:O446"/>
    <mergeCell ref="T444:Y444"/>
    <mergeCell ref="U445:Y445"/>
    <mergeCell ref="U446:Y446"/>
    <mergeCell ref="U429:Y429"/>
    <mergeCell ref="V430:Y430"/>
    <mergeCell ref="D431:O432"/>
    <mergeCell ref="U431:Y431"/>
    <mergeCell ref="U432:Y432"/>
    <mergeCell ref="C414:H414"/>
    <mergeCell ref="C416:O416"/>
    <mergeCell ref="U416:W416"/>
    <mergeCell ref="C376:O379"/>
    <mergeCell ref="U526:Y526"/>
    <mergeCell ref="C523:O523"/>
    <mergeCell ref="E524:O525"/>
    <mergeCell ref="T510:Y510"/>
    <mergeCell ref="U511:Y511"/>
    <mergeCell ref="D512:O512"/>
    <mergeCell ref="D513:O514"/>
    <mergeCell ref="U513:Y513"/>
    <mergeCell ref="U514:Y514"/>
    <mergeCell ref="U515:Y515"/>
    <mergeCell ref="E510:O511"/>
    <mergeCell ref="D527:O527"/>
    <mergeCell ref="C478:H478"/>
    <mergeCell ref="C480:O480"/>
    <mergeCell ref="U480:W480"/>
    <mergeCell ref="T482:W482"/>
    <mergeCell ref="D483:O488"/>
    <mergeCell ref="T483:W483"/>
    <mergeCell ref="T484:W484"/>
    <mergeCell ref="U494:Y494"/>
    <mergeCell ref="C505:O508"/>
    <mergeCell ref="V495:Y495"/>
    <mergeCell ref="D496:O497"/>
    <mergeCell ref="U496:Y496"/>
    <mergeCell ref="U497:Y497"/>
    <mergeCell ref="D499:O502"/>
    <mergeCell ref="D503:O503"/>
    <mergeCell ref="T503:Y503"/>
    <mergeCell ref="U504:Y504"/>
    <mergeCell ref="U505:Y505"/>
    <mergeCell ref="U508:Y508"/>
    <mergeCell ref="C493:O494"/>
    <mergeCell ref="D489:O490"/>
    <mergeCell ref="U524:Y524"/>
    <mergeCell ref="U525:Y525"/>
    <mergeCell ref="D586:O586"/>
    <mergeCell ref="D587:O588"/>
    <mergeCell ref="D590:O593"/>
    <mergeCell ref="D576:O579"/>
    <mergeCell ref="U576:Y576"/>
    <mergeCell ref="U577:Y577"/>
    <mergeCell ref="U579:Y579"/>
    <mergeCell ref="C582:O582"/>
    <mergeCell ref="E583:O584"/>
    <mergeCell ref="U583:Y583"/>
    <mergeCell ref="U584:Y584"/>
    <mergeCell ref="U585:Y585"/>
    <mergeCell ref="E569:O570"/>
    <mergeCell ref="T569:Y569"/>
    <mergeCell ref="U570:Y570"/>
    <mergeCell ref="D571:O571"/>
    <mergeCell ref="D572:O573"/>
    <mergeCell ref="U572:Y572"/>
    <mergeCell ref="U573:Y573"/>
    <mergeCell ref="U574:Y574"/>
    <mergeCell ref="U575:Y575"/>
    <mergeCell ref="U554:Y554"/>
    <mergeCell ref="U555:Y555"/>
    <mergeCell ref="D558:O561"/>
    <mergeCell ref="D562:O562"/>
    <mergeCell ref="T562:Y562"/>
    <mergeCell ref="U563:Y563"/>
    <mergeCell ref="C564:O567"/>
    <mergeCell ref="U564:Y564"/>
    <mergeCell ref="U567:Y567"/>
    <mergeCell ref="D554:O556"/>
    <mergeCell ref="C538:O538"/>
    <mergeCell ref="U538:W538"/>
    <mergeCell ref="T540:W540"/>
    <mergeCell ref="D541:O546"/>
    <mergeCell ref="T541:W541"/>
    <mergeCell ref="T542:W542"/>
    <mergeCell ref="U552:Y552"/>
    <mergeCell ref="V553:Y553"/>
    <mergeCell ref="C551:O552"/>
    <mergeCell ref="D547:O548"/>
    <mergeCell ref="D649:O650"/>
    <mergeCell ref="D652:O655"/>
    <mergeCell ref="U634:Y634"/>
    <mergeCell ref="U635:Y635"/>
    <mergeCell ref="D636:O639"/>
    <mergeCell ref="U636:Y636"/>
    <mergeCell ref="U637:Y637"/>
    <mergeCell ref="U639:Y639"/>
    <mergeCell ref="E645:O646"/>
    <mergeCell ref="U645:Y645"/>
    <mergeCell ref="U646:Y646"/>
    <mergeCell ref="C643:O644"/>
    <mergeCell ref="E629:O630"/>
    <mergeCell ref="T629:Y629"/>
    <mergeCell ref="D631:O631"/>
    <mergeCell ref="D632:O633"/>
    <mergeCell ref="U632:Y632"/>
    <mergeCell ref="U633:Y633"/>
    <mergeCell ref="U647:Y647"/>
    <mergeCell ref="D648:O648"/>
    <mergeCell ref="T630:Y630"/>
    <mergeCell ref="V613:Y613"/>
    <mergeCell ref="D614:O616"/>
    <mergeCell ref="U614:Y614"/>
    <mergeCell ref="U615:Y615"/>
    <mergeCell ref="D618:O621"/>
    <mergeCell ref="D622:O622"/>
    <mergeCell ref="T622:Y622"/>
    <mergeCell ref="U623:Y623"/>
    <mergeCell ref="C624:O627"/>
    <mergeCell ref="U624:Y624"/>
    <mergeCell ref="U627:Y627"/>
    <mergeCell ref="C596:H596"/>
    <mergeCell ref="C598:O598"/>
    <mergeCell ref="U598:W598"/>
    <mergeCell ref="T600:W600"/>
    <mergeCell ref="D601:O606"/>
    <mergeCell ref="T601:W601"/>
    <mergeCell ref="T602:W602"/>
    <mergeCell ref="D607:O608"/>
    <mergeCell ref="C611:O612"/>
    <mergeCell ref="U612:Y612"/>
  </mergeCell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rgb="FFFAC230"/>
  </sheetPr>
  <dimension ref="A3:AH725"/>
  <sheetViews>
    <sheetView showGridLines="0" topLeftCell="A657" workbookViewId="0">
      <selection activeCell="B2" sqref="B2"/>
    </sheetView>
  </sheetViews>
  <sheetFormatPr baseColWidth="10" defaultRowHeight="15"/>
  <cols>
    <col min="2" max="2" width="6" customWidth="1"/>
    <col min="3" max="3" width="4" customWidth="1"/>
    <col min="7" max="7" width="7.85546875" customWidth="1"/>
    <col min="8" max="8" width="3.42578125" customWidth="1"/>
    <col min="9" max="9" width="16.5703125" customWidth="1"/>
    <col min="10" max="10" width="4.42578125" customWidth="1"/>
    <col min="11" max="11" width="10.5703125" customWidth="1"/>
    <col min="13" max="14" width="4.85546875" customWidth="1"/>
    <col min="15" max="15" width="17.28515625" customWidth="1"/>
    <col min="19" max="19" width="7.5703125" customWidth="1"/>
    <col min="20" max="20" width="12.85546875" hidden="1" customWidth="1"/>
    <col min="21" max="23" width="11.42578125" hidden="1" customWidth="1"/>
    <col min="24" max="24" width="4.42578125" hidden="1" customWidth="1"/>
    <col min="25" max="25" width="15.140625" hidden="1" customWidth="1"/>
    <col min="26" max="26" width="3" hidden="1" customWidth="1"/>
    <col min="27" max="27" width="3.7109375" hidden="1" customWidth="1"/>
    <col min="28" max="28" width="14.28515625" hidden="1" customWidth="1"/>
    <col min="29" max="29" width="3.7109375" hidden="1" customWidth="1"/>
    <col min="30" max="30" width="3.85546875" hidden="1" customWidth="1"/>
    <col min="31" max="31" width="11.42578125" hidden="1" customWidth="1"/>
  </cols>
  <sheetData>
    <row r="3" spans="2:34" ht="15" customHeight="1">
      <c r="B3" s="5"/>
      <c r="C3" s="77"/>
      <c r="D3" s="77"/>
      <c r="E3" s="77"/>
      <c r="F3" s="548" t="s">
        <v>495</v>
      </c>
      <c r="G3" s="548"/>
      <c r="H3" s="548"/>
      <c r="I3" s="548"/>
      <c r="J3" s="548"/>
      <c r="K3" s="548"/>
      <c r="L3" s="548"/>
      <c r="M3" s="548"/>
      <c r="N3" s="548"/>
      <c r="O3" s="548"/>
      <c r="R3" s="109"/>
    </row>
    <row r="4" spans="2:34" ht="15" customHeight="1">
      <c r="B4" s="77"/>
      <c r="C4" s="77"/>
      <c r="D4" s="77"/>
      <c r="E4" s="77"/>
      <c r="F4" s="548"/>
      <c r="G4" s="548"/>
      <c r="H4" s="548"/>
      <c r="I4" s="548"/>
      <c r="J4" s="548"/>
      <c r="K4" s="548"/>
      <c r="L4" s="548"/>
      <c r="M4" s="548"/>
      <c r="N4" s="548"/>
      <c r="O4" s="548"/>
      <c r="P4" s="99"/>
    </row>
    <row r="5" spans="2:34" ht="15" customHeight="1">
      <c r="B5" s="77"/>
      <c r="C5" s="77"/>
      <c r="D5" s="77"/>
      <c r="E5" s="77"/>
      <c r="F5" s="548"/>
      <c r="G5" s="548"/>
      <c r="H5" s="548"/>
      <c r="I5" s="548"/>
      <c r="J5" s="548"/>
      <c r="K5" s="548"/>
      <c r="L5" s="548"/>
      <c r="M5" s="548"/>
      <c r="N5" s="548"/>
      <c r="O5" s="548"/>
    </row>
    <row r="6" spans="2:34" ht="15" customHeight="1">
      <c r="B6" s="77"/>
      <c r="C6" s="77"/>
      <c r="D6" s="77"/>
      <c r="E6" s="77"/>
      <c r="F6" s="548"/>
      <c r="G6" s="548"/>
      <c r="H6" s="548"/>
      <c r="I6" s="548"/>
      <c r="J6" s="548"/>
      <c r="K6" s="548"/>
      <c r="L6" s="548"/>
      <c r="M6" s="548"/>
      <c r="N6" s="548"/>
      <c r="O6" s="548"/>
    </row>
    <row r="7" spans="2:34">
      <c r="B7" s="392"/>
      <c r="C7" s="392"/>
      <c r="D7" s="392"/>
      <c r="E7" s="392"/>
      <c r="F7" s="392"/>
      <c r="G7" s="392"/>
      <c r="H7" s="392"/>
      <c r="I7" s="392"/>
      <c r="J7" s="392"/>
      <c r="K7" s="392"/>
      <c r="L7" s="392"/>
      <c r="M7" s="392"/>
      <c r="N7" s="392"/>
    </row>
    <row r="8" spans="2:34" ht="15.75">
      <c r="B8" s="549" t="s">
        <v>34</v>
      </c>
      <c r="C8" s="549"/>
      <c r="D8" s="549"/>
      <c r="E8" s="549"/>
      <c r="F8" s="549"/>
      <c r="G8" s="549"/>
      <c r="H8" s="549"/>
      <c r="I8" s="549"/>
      <c r="J8" s="549"/>
      <c r="K8" s="549"/>
      <c r="L8" s="549"/>
      <c r="M8" s="549"/>
      <c r="N8" s="549"/>
      <c r="O8" s="549"/>
    </row>
    <row r="9" spans="2:34" ht="15" customHeight="1">
      <c r="B9" s="550" t="s">
        <v>33</v>
      </c>
      <c r="C9" s="550"/>
      <c r="D9" s="550"/>
      <c r="E9" s="550"/>
      <c r="F9" s="550"/>
      <c r="G9" s="550"/>
      <c r="H9" s="550"/>
      <c r="I9" s="550"/>
      <c r="J9" s="550"/>
      <c r="K9" s="550"/>
      <c r="L9" s="550"/>
      <c r="M9" s="550"/>
      <c r="N9" s="550"/>
      <c r="O9" s="550"/>
    </row>
    <row r="10" spans="2:34" ht="15" customHeight="1">
      <c r="B10" s="550"/>
      <c r="C10" s="550"/>
      <c r="D10" s="550"/>
      <c r="E10" s="550"/>
      <c r="F10" s="550"/>
      <c r="G10" s="550"/>
      <c r="H10" s="550"/>
      <c r="I10" s="550"/>
      <c r="J10" s="550"/>
      <c r="K10" s="550"/>
      <c r="L10" s="550"/>
      <c r="M10" s="550"/>
      <c r="N10" s="550"/>
      <c r="O10" s="550"/>
    </row>
    <row r="11" spans="2:34" ht="15.75">
      <c r="B11" s="549" t="s">
        <v>65</v>
      </c>
      <c r="C11" s="549"/>
      <c r="D11" s="549"/>
      <c r="E11" s="549"/>
      <c r="F11" s="549"/>
      <c r="G11" s="549"/>
      <c r="H11" s="549"/>
      <c r="I11" s="549"/>
      <c r="J11" s="549"/>
      <c r="K11" s="549"/>
      <c r="L11" s="549"/>
      <c r="M11" s="549"/>
      <c r="N11" s="549"/>
      <c r="O11" s="549"/>
      <c r="P11" s="99"/>
      <c r="Q11" s="99"/>
      <c r="R11" s="99"/>
      <c r="S11" s="99"/>
    </row>
    <row r="12" spans="2:34">
      <c r="R12" t="s">
        <v>7</v>
      </c>
    </row>
    <row r="13" spans="2:34">
      <c r="B13" s="413" t="s">
        <v>68</v>
      </c>
      <c r="C13" s="413"/>
      <c r="D13" s="413"/>
      <c r="E13" s="413"/>
      <c r="F13" s="413"/>
      <c r="G13" s="413"/>
      <c r="H13" s="413"/>
      <c r="I13" s="413"/>
      <c r="J13" s="413"/>
      <c r="K13" s="413"/>
      <c r="L13" s="413"/>
      <c r="M13" s="413"/>
      <c r="N13" s="413"/>
      <c r="O13" s="413"/>
      <c r="S13" s="109"/>
      <c r="T13" s="535" t="s">
        <v>32</v>
      </c>
      <c r="U13" s="535"/>
      <c r="V13" s="535"/>
      <c r="W13" s="535"/>
      <c r="X13" s="535"/>
      <c r="Y13" s="535"/>
      <c r="Z13" s="535"/>
      <c r="AA13" s="535"/>
      <c r="AB13" s="535"/>
      <c r="AC13" s="535"/>
      <c r="AD13" s="535"/>
      <c r="AE13" s="535"/>
      <c r="AF13" s="1"/>
      <c r="AG13" s="1"/>
      <c r="AH13" s="1"/>
    </row>
    <row r="14" spans="2:34" ht="16.5" customHeight="1">
      <c r="B14" s="379"/>
      <c r="C14" s="379"/>
      <c r="D14" s="379"/>
      <c r="E14" s="379"/>
      <c r="F14" s="379"/>
      <c r="G14" s="379"/>
      <c r="H14" s="379"/>
      <c r="I14" s="379"/>
      <c r="J14" s="379"/>
      <c r="K14" s="379"/>
      <c r="L14" s="379"/>
      <c r="M14" s="379"/>
      <c r="N14" s="379"/>
      <c r="O14" s="379"/>
      <c r="S14" s="109"/>
      <c r="T14" s="535"/>
      <c r="U14" s="535"/>
      <c r="V14" s="535"/>
      <c r="W14" s="535"/>
      <c r="X14" s="535"/>
      <c r="Y14" s="535"/>
      <c r="Z14" s="535"/>
      <c r="AA14" s="535"/>
      <c r="AB14" s="535"/>
      <c r="AC14" s="535"/>
      <c r="AD14" s="535"/>
      <c r="AE14" s="535"/>
      <c r="AF14" s="1"/>
      <c r="AG14" s="1"/>
      <c r="AH14" s="1"/>
    </row>
    <row r="15" spans="2:34" ht="15.75" thickBot="1">
      <c r="B15" s="223"/>
      <c r="C15" s="223"/>
      <c r="D15" s="223"/>
      <c r="E15" s="223"/>
      <c r="F15" s="223"/>
      <c r="G15" s="223"/>
      <c r="H15" s="223"/>
      <c r="I15" s="223"/>
      <c r="J15" s="223"/>
      <c r="K15" s="223"/>
      <c r="L15" s="223"/>
      <c r="M15" s="223"/>
      <c r="N15" s="223"/>
      <c r="O15" s="223"/>
      <c r="S15" s="109"/>
      <c r="T15" s="535"/>
      <c r="U15" s="535"/>
      <c r="V15" s="535"/>
      <c r="W15" s="535"/>
      <c r="X15" s="535"/>
      <c r="Y15" s="535"/>
      <c r="Z15" s="535"/>
      <c r="AA15" s="535"/>
      <c r="AB15" s="535"/>
      <c r="AC15" s="535"/>
      <c r="AD15" s="535"/>
      <c r="AE15" s="535"/>
      <c r="AF15" s="1"/>
      <c r="AG15" s="1"/>
      <c r="AH15" s="1"/>
    </row>
    <row r="16" spans="2:34" ht="15" customHeight="1">
      <c r="B16" s="533">
        <v>2020</v>
      </c>
      <c r="C16" s="533"/>
      <c r="D16" s="533"/>
      <c r="E16" s="533"/>
      <c r="F16" s="533"/>
      <c r="G16" s="533"/>
      <c r="H16" s="533"/>
      <c r="I16" s="533"/>
      <c r="J16" s="533"/>
      <c r="K16" s="533"/>
      <c r="L16" s="533"/>
      <c r="M16" s="533"/>
      <c r="N16" s="533"/>
      <c r="O16" s="533"/>
      <c r="S16" s="109"/>
      <c r="T16" s="535"/>
      <c r="U16" s="535"/>
      <c r="V16" s="535"/>
      <c r="W16" s="535"/>
      <c r="X16" s="535"/>
      <c r="Y16" s="535"/>
      <c r="Z16" s="535"/>
      <c r="AA16" s="535"/>
      <c r="AB16" s="535"/>
      <c r="AC16" s="535"/>
      <c r="AD16" s="535"/>
      <c r="AE16" s="535"/>
      <c r="AF16" s="1"/>
      <c r="AG16" s="1"/>
      <c r="AH16" s="1"/>
    </row>
    <row r="17" spans="2:34" ht="15.75" customHeight="1" thickBot="1">
      <c r="B17" s="534"/>
      <c r="C17" s="534"/>
      <c r="D17" s="534"/>
      <c r="E17" s="534"/>
      <c r="F17" s="534"/>
      <c r="G17" s="534"/>
      <c r="H17" s="534"/>
      <c r="I17" s="534"/>
      <c r="J17" s="534"/>
      <c r="K17" s="534"/>
      <c r="L17" s="534"/>
      <c r="M17" s="534"/>
      <c r="N17" s="534"/>
      <c r="O17" s="534"/>
      <c r="S17" s="109"/>
      <c r="T17" s="535"/>
      <c r="U17" s="535"/>
      <c r="V17" s="535"/>
      <c r="W17" s="535"/>
      <c r="X17" s="535"/>
      <c r="Y17" s="535"/>
      <c r="Z17" s="535"/>
      <c r="AA17" s="535"/>
      <c r="AB17" s="535"/>
      <c r="AC17" s="535"/>
      <c r="AD17" s="535"/>
      <c r="AE17" s="535"/>
      <c r="AF17" s="1"/>
      <c r="AG17" s="1"/>
      <c r="AH17" s="1"/>
    </row>
    <row r="18" spans="2:34">
      <c r="S18" s="109"/>
      <c r="T18" s="535"/>
      <c r="U18" s="535"/>
      <c r="V18" s="535"/>
      <c r="W18" s="535"/>
      <c r="X18" s="535"/>
      <c r="Y18" s="535"/>
      <c r="Z18" s="535"/>
      <c r="AA18" s="535"/>
      <c r="AB18" s="535"/>
      <c r="AC18" s="535"/>
      <c r="AD18" s="535"/>
      <c r="AE18" s="535"/>
      <c r="AF18" s="1"/>
      <c r="AG18" s="1"/>
      <c r="AH18" s="1"/>
    </row>
    <row r="19" spans="2:34">
      <c r="S19" s="109"/>
      <c r="T19" s="535"/>
      <c r="U19" s="535"/>
      <c r="V19" s="535"/>
      <c r="W19" s="535"/>
      <c r="X19" s="535"/>
      <c r="Y19" s="535"/>
      <c r="Z19" s="535"/>
      <c r="AA19" s="535"/>
      <c r="AB19" s="535"/>
      <c r="AC19" s="535"/>
      <c r="AD19" s="535"/>
      <c r="AE19" s="535"/>
      <c r="AF19" s="1"/>
      <c r="AG19" s="1"/>
      <c r="AH19" s="1"/>
    </row>
    <row r="20" spans="2:34" ht="19.5" customHeight="1" thickBot="1">
      <c r="B20" s="221"/>
      <c r="C20" s="488" t="s">
        <v>19</v>
      </c>
      <c r="D20" s="488"/>
      <c r="E20" s="488"/>
      <c r="F20" s="488"/>
      <c r="G20" s="488"/>
      <c r="H20" s="488"/>
      <c r="I20" s="222"/>
      <c r="J20" s="221"/>
      <c r="K20" s="221"/>
      <c r="L20" s="221"/>
      <c r="M20" s="221"/>
      <c r="N20" s="221"/>
      <c r="O20" s="221"/>
      <c r="T20" s="535"/>
      <c r="U20" s="535"/>
      <c r="V20" s="535"/>
      <c r="W20" s="535"/>
      <c r="X20" s="535"/>
      <c r="Y20" s="535"/>
      <c r="Z20" s="535"/>
      <c r="AA20" s="535"/>
      <c r="AB20" s="535"/>
      <c r="AC20" s="535"/>
      <c r="AD20" s="535"/>
      <c r="AE20" s="535"/>
      <c r="AF20" s="1"/>
      <c r="AG20" s="1"/>
      <c r="AH20" s="1"/>
    </row>
    <row r="21" spans="2:34" ht="15" customHeight="1">
      <c r="B21" s="1"/>
      <c r="C21" s="111"/>
      <c r="D21" s="111"/>
      <c r="E21" s="111"/>
      <c r="F21" s="111"/>
      <c r="G21" s="111"/>
      <c r="H21" s="111"/>
      <c r="I21" s="44"/>
      <c r="J21" s="1"/>
      <c r="K21" s="1"/>
      <c r="L21" s="1"/>
      <c r="M21" s="1"/>
      <c r="N21" s="1"/>
      <c r="O21" s="1"/>
      <c r="S21" s="109"/>
      <c r="T21" s="390"/>
      <c r="U21" s="390"/>
      <c r="V21" s="390"/>
      <c r="W21" s="390"/>
      <c r="X21" s="390"/>
      <c r="Y21" s="390"/>
      <c r="Z21" s="390"/>
      <c r="AA21" s="390"/>
      <c r="AB21" s="390"/>
      <c r="AC21" s="390"/>
      <c r="AD21" s="390"/>
      <c r="AE21" s="390"/>
      <c r="AF21" s="1"/>
      <c r="AG21" s="1"/>
      <c r="AH21" s="1"/>
    </row>
    <row r="22" spans="2:34">
      <c r="B22" s="44"/>
      <c r="C22" s="40"/>
      <c r="D22" s="40"/>
      <c r="E22" s="40"/>
      <c r="F22" s="40"/>
      <c r="G22" s="40"/>
      <c r="H22" s="40"/>
      <c r="I22" s="44"/>
      <c r="J22" s="44"/>
      <c r="K22" s="44"/>
      <c r="L22" s="44"/>
      <c r="M22" s="44"/>
      <c r="N22" s="44"/>
      <c r="O22" s="44"/>
      <c r="P22" s="1"/>
      <c r="Q22" s="1"/>
      <c r="R22" s="1"/>
      <c r="S22" s="109"/>
      <c r="T22" s="16"/>
      <c r="U22" s="11"/>
      <c r="V22" s="11"/>
      <c r="W22" s="11"/>
      <c r="X22" s="11"/>
      <c r="Y22" s="11"/>
      <c r="Z22" s="11"/>
      <c r="AA22" s="11"/>
      <c r="AB22" s="11"/>
      <c r="AC22" s="11"/>
      <c r="AD22" s="11"/>
      <c r="AE22" s="12"/>
      <c r="AF22" s="1"/>
      <c r="AG22" s="1"/>
      <c r="AH22" s="1"/>
    </row>
    <row r="23" spans="2:34" ht="15" customHeight="1">
      <c r="B23" s="40"/>
      <c r="C23" s="401" t="s">
        <v>28</v>
      </c>
      <c r="D23" s="401"/>
      <c r="E23" s="401"/>
      <c r="F23" s="401"/>
      <c r="G23" s="401"/>
      <c r="H23" s="401"/>
      <c r="I23" s="401"/>
      <c r="J23" s="40"/>
      <c r="K23" s="40"/>
      <c r="L23" s="40"/>
      <c r="M23" s="40"/>
      <c r="N23" s="40"/>
      <c r="O23" s="40"/>
      <c r="S23" s="109"/>
      <c r="T23" s="25"/>
      <c r="U23" s="490" t="s">
        <v>20</v>
      </c>
      <c r="V23" s="490"/>
      <c r="W23" s="490"/>
      <c r="X23" s="1"/>
      <c r="Y23" s="390" t="s">
        <v>6</v>
      </c>
      <c r="Z23" s="390"/>
      <c r="AA23" s="126"/>
      <c r="AB23" s="390" t="s">
        <v>23</v>
      </c>
      <c r="AC23" s="390"/>
      <c r="AD23" s="126"/>
      <c r="AE23" s="26" t="s">
        <v>24</v>
      </c>
      <c r="AF23" s="1"/>
      <c r="AG23" s="1"/>
      <c r="AH23" s="1"/>
    </row>
    <row r="24" spans="2:34" ht="15" customHeight="1">
      <c r="B24" s="40"/>
      <c r="C24" s="60" t="s">
        <v>7</v>
      </c>
      <c r="D24" s="380" t="s">
        <v>36</v>
      </c>
      <c r="E24" s="380"/>
      <c r="F24" s="380"/>
      <c r="G24" s="380"/>
      <c r="H24" s="380"/>
      <c r="I24" s="380"/>
      <c r="J24" s="378"/>
      <c r="K24" s="378"/>
      <c r="L24" s="378"/>
      <c r="M24" s="40"/>
      <c r="N24" s="40"/>
      <c r="O24" s="40"/>
      <c r="S24" s="109"/>
      <c r="T24" s="491" t="s">
        <v>21</v>
      </c>
      <c r="U24" s="490"/>
      <c r="V24" s="490"/>
      <c r="W24" s="490"/>
      <c r="X24" s="1"/>
      <c r="Y24" s="21">
        <f>'Mon Entreprise'!I106</f>
        <v>0</v>
      </c>
      <c r="Z24" s="21"/>
      <c r="AA24" s="22"/>
      <c r="AB24" s="21">
        <f>IF('Mon Entreprise'!I106-'Mon Entreprise'!M106&lt;0,0,'Mon Entreprise'!I106-'Mon Entreprise'!M106)</f>
        <v>0</v>
      </c>
      <c r="AC24" s="1"/>
      <c r="AD24" s="14"/>
      <c r="AE24" s="27">
        <f>IFERROR(1-'Mon Entreprise'!M106/'Mon Entreprise'!I106,0)</f>
        <v>0</v>
      </c>
      <c r="AF24" s="1"/>
      <c r="AG24" s="1"/>
      <c r="AH24" s="1"/>
    </row>
    <row r="25" spans="2:34" ht="15" customHeight="1">
      <c r="B25" s="40"/>
      <c r="C25" s="60"/>
      <c r="D25" s="60" t="str">
        <f>"Nombre de jours de fermetures au mois de Septembre : "&amp;IF(Annexes!M9=FALSE,0,IF(Annexes!M4=1,0,Annexes!M4-1))&amp;" jour(s)"</f>
        <v>Nombre de jours de fermetures au mois de Septembre : 0 jour(s)</v>
      </c>
      <c r="E25" s="60"/>
      <c r="F25" s="60"/>
      <c r="G25" s="60"/>
      <c r="H25" s="60"/>
      <c r="I25" s="60"/>
      <c r="J25" s="40"/>
      <c r="K25" s="40"/>
      <c r="L25" s="40"/>
      <c r="M25" s="40"/>
      <c r="N25" s="40"/>
      <c r="O25" s="40"/>
      <c r="S25" s="109"/>
      <c r="T25" s="491" t="s">
        <v>25</v>
      </c>
      <c r="U25" s="490"/>
      <c r="V25" s="490"/>
      <c r="W25" s="490"/>
      <c r="X25" s="1"/>
      <c r="Y25" s="21">
        <f>'Mon Entreprise'!I96*(Annexes!M4-1)/360</f>
        <v>0</v>
      </c>
      <c r="Z25" s="21"/>
      <c r="AA25" s="22"/>
      <c r="AB25" s="21">
        <f>IF('Mon Entreprise'!I96*(Annexes!M4-1)/360-'Mon Entreprise'!M106&lt;0,0,'Mon Entreprise'!I96*(Annexes!M4-1)/360-'Mon Entreprise'!M106)</f>
        <v>0</v>
      </c>
      <c r="AC25" s="7"/>
      <c r="AD25" s="14"/>
      <c r="AE25" s="27">
        <f>IFERROR(1-'Mon Entreprise'!M106/('Mon Entreprise'!I96*(Annexes!M4-1)/360),0)</f>
        <v>0</v>
      </c>
      <c r="AF25" s="1"/>
      <c r="AG25" s="1"/>
      <c r="AH25" s="1"/>
    </row>
    <row r="26" spans="2:34" ht="15" customHeight="1">
      <c r="B26" s="40"/>
      <c r="C26" s="60"/>
      <c r="D26" s="60"/>
      <c r="E26" s="380" t="str">
        <f>IF(Annexes!M9=FALSE,"Vous n'avez pas coché la case Fermeture administrative de Septembre à Octobre",IF(Annexes!M4=1,"Vous n'avez pas de jour de fermeture en septembre",""))</f>
        <v>Vous n'avez pas coché la case Fermeture administrative de Septembre à Octobre</v>
      </c>
      <c r="F26" s="100"/>
      <c r="G26" s="100"/>
      <c r="H26" s="100"/>
      <c r="I26" s="100"/>
      <c r="J26" s="100"/>
      <c r="K26" s="100"/>
      <c r="L26" s="100"/>
      <c r="M26" s="40"/>
      <c r="N26" s="40"/>
      <c r="O26" s="40"/>
      <c r="S26" s="109"/>
      <c r="T26" s="491" t="s">
        <v>22</v>
      </c>
      <c r="U26" s="490"/>
      <c r="V26" s="490"/>
      <c r="W26" s="490"/>
      <c r="X26" s="1"/>
      <c r="Y26" s="23" t="str">
        <f>IFERROR(IF(AND('Mon Entreprise'!K8&gt;=Annexes!Q18,'Mon Entreprise'!K8&lt;=Annexes!Q23),'Mon Entreprise'!I185,IF('Mon Entreprise'!K8&gt;=Annexes!O20,'Mon Entreprise'!I177,"NC")),"NC")</f>
        <v>NC</v>
      </c>
      <c r="Z26" s="23"/>
      <c r="AA26" s="22"/>
      <c r="AB26" s="23" t="str">
        <f>IFERROR(IF(AND('Mon Entreprise'!K8&gt;=Annexes!Q18,'Mon Entreprise'!K8&lt;=Annexes!Q23),IF('Mon Entreprise'!I185-'Mon Entreprise'!I109&lt;0,0,'Mon Entreprise'!I185-'Mon Entreprise'!I109),IF('Mon Entreprise'!K8&gt;=Annexes!O20,IF('Mon Entreprise'!I177-'Mon Entreprise'!I109&lt;0,0,'Mon Entreprise'!I177-'Mon Entreprise'!I109),"NC")),"NC")</f>
        <v>NC</v>
      </c>
      <c r="AC26" s="381"/>
      <c r="AD26" s="14"/>
      <c r="AE26" s="28" t="str">
        <f>IFERROR(IF(AND('Mon Entreprise'!K8&gt;=Annexes!Q18,'Mon Entreprise'!K8&lt;=Annexes!Q24),1-'Mon Entreprise'!I109/'Mon Entreprise'!I185,IF('Mon Entreprise'!K8&gt;=Annexes!O20,1-'Mon Entreprise'!I109/'Mon Entreprise'!I177,"NC")),"NC")</f>
        <v>NC</v>
      </c>
      <c r="AF26" s="1"/>
      <c r="AG26" s="1"/>
      <c r="AH26" s="1"/>
    </row>
    <row r="27" spans="2:34" ht="15" customHeight="1">
      <c r="B27" s="40"/>
      <c r="C27" s="60"/>
      <c r="D27" s="60" t="str">
        <f>IFERROR(IF('Mon Entreprise'!K8&gt;=Annexes!O20,IF(AB24&gt;=AB26,"Le CA de référence est celui de Septembre 2019, soit une perte de "&amp;ROUND(AB24,0)&amp;" €"&amp;" ==&gt; "&amp;ROUND(AE24*100,0)&amp;" %","Le CA de référence est celui de la création, soit une perte de "&amp;ROUND(AB26,0)&amp;" €"&amp;" ==&gt; "&amp;ROUND(AE26*100,0)&amp;" %"),IF(AB24&gt;=AB25,"Le CA de référence est celui de Septembre 2019, soit une perte de "&amp;ROUND(AB24,0)&amp;" €"&amp;" ==&gt; "&amp;ROUND(AE24*100,0)&amp;" %","Le CA de référence est celui de l'exercice 2019, soit une perte de "&amp;ROUND(AB25,0)&amp;" €"&amp;" ==&gt; "&amp;ROUND(AE25*100,0)&amp;" %")),"")</f>
        <v>Le CA de référence est celui de Septembre 2019, soit une perte de 0 € ==&gt; 0 %</v>
      </c>
      <c r="E27" s="60"/>
      <c r="F27" s="60"/>
      <c r="G27" s="60"/>
      <c r="H27" s="60"/>
      <c r="I27" s="60"/>
      <c r="J27" s="40"/>
      <c r="K27" s="40"/>
      <c r="L27" s="40"/>
      <c r="M27" s="40"/>
      <c r="N27" s="40"/>
      <c r="O27" s="40"/>
      <c r="S27" s="109"/>
      <c r="T27" s="14"/>
      <c r="U27" s="1"/>
      <c r="V27" s="1"/>
      <c r="W27" s="1"/>
      <c r="X27" s="1"/>
      <c r="Y27" s="1"/>
      <c r="Z27" s="1"/>
      <c r="AA27" s="1"/>
      <c r="AB27" s="1"/>
      <c r="AC27" s="1"/>
      <c r="AD27" s="1"/>
      <c r="AE27" s="13"/>
      <c r="AF27" s="1"/>
      <c r="AG27" s="1"/>
      <c r="AH27" s="1"/>
    </row>
    <row r="28" spans="2:34" ht="15" customHeight="1" thickBot="1">
      <c r="B28" s="40"/>
      <c r="C28" s="40"/>
      <c r="D28" s="40"/>
      <c r="E28" s="40"/>
      <c r="F28" s="40"/>
      <c r="G28" s="40"/>
      <c r="H28" s="40"/>
      <c r="I28" s="40"/>
      <c r="J28" s="40"/>
      <c r="K28" s="40"/>
      <c r="L28" s="40"/>
      <c r="M28" s="40"/>
      <c r="N28" s="40"/>
      <c r="O28" s="40"/>
      <c r="S28" s="109"/>
      <c r="T28" s="14"/>
      <c r="U28" s="1"/>
      <c r="V28" s="1"/>
      <c r="W28" s="1"/>
      <c r="X28" s="1"/>
      <c r="Y28" s="1"/>
      <c r="Z28" s="1"/>
      <c r="AA28" s="1"/>
      <c r="AB28" s="1"/>
      <c r="AC28" s="1"/>
      <c r="AD28" s="1"/>
      <c r="AE28" s="13"/>
      <c r="AF28" s="1"/>
      <c r="AG28" s="1"/>
      <c r="AH28" s="1"/>
    </row>
    <row r="29" spans="2:34">
      <c r="B29" s="40"/>
      <c r="C29" s="40"/>
      <c r="D29" s="567" t="str">
        <f>IFERROR(IF('Mon Entreprise'!K8="","Vous ne pouvez pas bénéficier du fonds de solidarité pour le mois de Septembre 2020",IF(AB29="NON","Vous avez débuté votre activité après le 31 Août 2020, vous ne pouvez donc pas bénéficier de cette aide pour le mois de Septembre",IF(AB31="Non","Vous n'avez pas eu de fermeture administrative en septembre, vous ne pouvez donc pas bénéficier de cette aide pour le mois de Septembre",IF(AB32&gt;Annexes!O7*(Annexes!M4-1),"Dans votre cas, l'aide est Plafonnée sur 333 €/jour, soit "&amp;Annexes!O7*(Annexes!M4-1)&amp;" €, pour le mois de septembre","Vous pouvez bénéficier, au titre de cette aide, d'un montant de "&amp;ROUND(IF(AB32&lt;0,0,AB32),0)&amp;" € pour le mois de septembre")))),"Vous n'avez pas indiqué de chiffre d'affaires de référence")</f>
        <v>Vous ne pouvez pas bénéficier du fonds de solidarité pour le mois de Septembre 2020</v>
      </c>
      <c r="E29" s="568"/>
      <c r="F29" s="568"/>
      <c r="G29" s="568"/>
      <c r="H29" s="568"/>
      <c r="I29" s="568"/>
      <c r="J29" s="568"/>
      <c r="K29" s="568"/>
      <c r="L29" s="568"/>
      <c r="M29" s="568"/>
      <c r="N29" s="568"/>
      <c r="O29" s="569"/>
      <c r="S29" s="109"/>
      <c r="T29" s="14"/>
      <c r="U29" s="506" t="s">
        <v>72</v>
      </c>
      <c r="V29" s="506"/>
      <c r="W29" s="506"/>
      <c r="X29" s="506"/>
      <c r="Y29" s="506"/>
      <c r="Z29" s="386"/>
      <c r="AA29" s="14"/>
      <c r="AB29" s="381" t="str">
        <f>IF('Mon Entreprise'!K8&lt;=Annexes!Q23,"Oui","Non")</f>
        <v>Oui</v>
      </c>
      <c r="AC29" s="1"/>
      <c r="AD29" s="1"/>
      <c r="AE29" s="13"/>
      <c r="AF29" s="1"/>
      <c r="AG29" s="1"/>
      <c r="AH29" s="1"/>
    </row>
    <row r="30" spans="2:34" ht="15" customHeight="1">
      <c r="B30" s="1"/>
      <c r="C30" s="1"/>
      <c r="D30" s="570"/>
      <c r="E30" s="542"/>
      <c r="F30" s="542"/>
      <c r="G30" s="542"/>
      <c r="H30" s="542"/>
      <c r="I30" s="542"/>
      <c r="J30" s="542"/>
      <c r="K30" s="542"/>
      <c r="L30" s="542"/>
      <c r="M30" s="542"/>
      <c r="N30" s="542"/>
      <c r="O30" s="571"/>
      <c r="P30" s="1"/>
      <c r="Q30" s="1"/>
      <c r="R30" s="1"/>
      <c r="S30" s="109"/>
      <c r="T30" s="14"/>
      <c r="U30" s="490" t="s">
        <v>78</v>
      </c>
      <c r="V30" s="490"/>
      <c r="W30" s="490"/>
      <c r="X30" s="490"/>
      <c r="Y30" s="490"/>
      <c r="Z30" s="381"/>
      <c r="AA30" s="14"/>
      <c r="AB30" s="381">
        <f>IF(Annexes!M9=FALSE,0,IF(Annexes!M4=1,0,Annexes!M4-1))</f>
        <v>0</v>
      </c>
      <c r="AC30" s="1"/>
      <c r="AD30" s="1"/>
      <c r="AE30" s="13"/>
      <c r="AF30" s="1"/>
      <c r="AG30" s="1"/>
      <c r="AH30" s="1"/>
    </row>
    <row r="31" spans="2:34" ht="15" hidden="1" customHeight="1">
      <c r="B31" s="1"/>
      <c r="C31" s="1"/>
      <c r="D31" s="570"/>
      <c r="E31" s="542"/>
      <c r="F31" s="542"/>
      <c r="G31" s="542"/>
      <c r="H31" s="542"/>
      <c r="I31" s="542"/>
      <c r="J31" s="542"/>
      <c r="K31" s="542"/>
      <c r="L31" s="542"/>
      <c r="M31" s="542"/>
      <c r="N31" s="542"/>
      <c r="O31" s="571"/>
      <c r="P31" s="1"/>
      <c r="Q31" s="1"/>
      <c r="R31" s="1"/>
      <c r="S31" s="1"/>
      <c r="T31" s="14"/>
      <c r="U31" s="490" t="s">
        <v>79</v>
      </c>
      <c r="V31" s="490"/>
      <c r="W31" s="490"/>
      <c r="X31" s="490"/>
      <c r="Y31" s="490"/>
      <c r="Z31" s="381"/>
      <c r="AA31" s="14"/>
      <c r="AB31" s="381" t="str">
        <f>IF(Annexes!M9=FALSE,"Non",IF(Annexes!M4=1,"Non","Oui"))</f>
        <v>Non</v>
      </c>
      <c r="AC31" s="1"/>
      <c r="AD31" s="1"/>
      <c r="AE31" s="13"/>
      <c r="AF31" s="1"/>
      <c r="AG31" s="1"/>
      <c r="AH31" s="1"/>
    </row>
    <row r="32" spans="2:34" ht="15" customHeight="1">
      <c r="B32" s="1"/>
      <c r="C32" s="1"/>
      <c r="D32" s="570"/>
      <c r="E32" s="542"/>
      <c r="F32" s="542"/>
      <c r="G32" s="542"/>
      <c r="H32" s="542"/>
      <c r="I32" s="542"/>
      <c r="J32" s="542"/>
      <c r="K32" s="542"/>
      <c r="L32" s="542"/>
      <c r="M32" s="542"/>
      <c r="N32" s="542"/>
      <c r="O32" s="571"/>
      <c r="P32" s="1"/>
      <c r="Q32" s="1"/>
      <c r="R32" s="1"/>
      <c r="S32" s="1"/>
      <c r="T32" s="14"/>
      <c r="U32" s="490" t="s">
        <v>89</v>
      </c>
      <c r="V32" s="490"/>
      <c r="W32" s="490"/>
      <c r="X32" s="490"/>
      <c r="Y32" s="490"/>
      <c r="Z32" s="130"/>
      <c r="AA32" s="14"/>
      <c r="AB32" s="381">
        <f>IF('Mon Entreprise'!K8&gt;=Annexes!O20,IF(AB24&gt;=AB26,AB24,AB26),IF(AB24&gt;=AB25,AB24,AB25))</f>
        <v>0</v>
      </c>
      <c r="AC32" s="1"/>
      <c r="AD32" s="1"/>
      <c r="AE32" s="13"/>
      <c r="AF32" s="1"/>
      <c r="AG32" s="1"/>
      <c r="AH32" s="1"/>
    </row>
    <row r="33" spans="2:34" ht="15.75" thickBot="1">
      <c r="B33" s="1"/>
      <c r="C33" s="1"/>
      <c r="D33" s="572"/>
      <c r="E33" s="573"/>
      <c r="F33" s="573"/>
      <c r="G33" s="573"/>
      <c r="H33" s="573"/>
      <c r="I33" s="573"/>
      <c r="J33" s="573"/>
      <c r="K33" s="573"/>
      <c r="L33" s="573"/>
      <c r="M33" s="573"/>
      <c r="N33" s="573"/>
      <c r="O33" s="574"/>
      <c r="P33" s="1"/>
      <c r="Q33" s="1"/>
      <c r="R33" s="1"/>
      <c r="S33" s="1"/>
      <c r="T33" s="14"/>
      <c r="U33" s="1"/>
      <c r="V33" s="1"/>
      <c r="W33" s="1"/>
      <c r="X33" s="1"/>
      <c r="Y33" s="1"/>
      <c r="Z33" s="1"/>
      <c r="AA33" s="1"/>
      <c r="AB33" s="1"/>
      <c r="AC33" s="1"/>
      <c r="AD33" s="1"/>
      <c r="AE33" s="13"/>
      <c r="AF33" s="1"/>
      <c r="AG33" s="1"/>
      <c r="AH33" s="1"/>
    </row>
    <row r="34" spans="2:34">
      <c r="B34" s="1"/>
      <c r="C34" s="1"/>
      <c r="D34" s="55" t="s">
        <v>83</v>
      </c>
      <c r="E34" s="1"/>
      <c r="F34" s="1"/>
      <c r="G34" s="1"/>
      <c r="H34" s="1"/>
      <c r="I34" s="1"/>
      <c r="J34" s="1"/>
      <c r="K34" s="1"/>
      <c r="L34" s="5"/>
      <c r="M34" s="1"/>
      <c r="N34" s="1"/>
      <c r="O34" s="1"/>
      <c r="P34" s="1"/>
      <c r="Q34" s="1"/>
      <c r="R34" s="1"/>
      <c r="S34" s="1"/>
      <c r="T34" s="14"/>
      <c r="U34" s="1"/>
      <c r="V34" s="1"/>
      <c r="W34" s="1"/>
      <c r="X34" s="1"/>
      <c r="Y34" s="1"/>
      <c r="Z34" s="1"/>
      <c r="AA34" s="1"/>
      <c r="AB34" s="1"/>
      <c r="AC34" s="1"/>
      <c r="AD34" s="1"/>
      <c r="AE34" s="13"/>
      <c r="AF34" s="1"/>
      <c r="AG34" s="1"/>
      <c r="AH34" s="1"/>
    </row>
    <row r="35" spans="2:34">
      <c r="B35" s="8"/>
      <c r="C35" s="8"/>
      <c r="D35" s="8"/>
      <c r="K35" s="6"/>
      <c r="O35" s="1"/>
      <c r="P35" s="7"/>
      <c r="Q35" s="7"/>
      <c r="R35" s="7"/>
      <c r="S35" s="1"/>
      <c r="T35" s="14"/>
      <c r="U35" s="1"/>
      <c r="V35" s="1"/>
      <c r="W35" s="1"/>
      <c r="X35" s="1"/>
      <c r="Y35" s="1"/>
      <c r="Z35" s="1"/>
      <c r="AA35" s="1"/>
      <c r="AB35" s="1"/>
      <c r="AC35" s="1"/>
      <c r="AD35" s="1"/>
      <c r="AE35" s="13"/>
      <c r="AF35" s="1"/>
      <c r="AG35" s="1"/>
      <c r="AH35" s="1"/>
    </row>
    <row r="36" spans="2:34" ht="15" customHeight="1">
      <c r="B36" s="5"/>
      <c r="C36" s="5"/>
      <c r="D36" s="5"/>
      <c r="O36" s="1"/>
      <c r="P36" s="1"/>
      <c r="Q36" s="1"/>
      <c r="R36" s="1"/>
      <c r="S36" s="1"/>
      <c r="T36" s="14"/>
      <c r="U36" s="1"/>
      <c r="V36" s="1"/>
      <c r="W36" s="1"/>
      <c r="X36" s="1"/>
      <c r="Y36" s="1"/>
      <c r="Z36" s="1"/>
      <c r="AA36" s="1"/>
      <c r="AB36" s="1"/>
      <c r="AC36" s="1"/>
      <c r="AD36" s="1"/>
      <c r="AE36" s="13"/>
      <c r="AF36" s="1"/>
      <c r="AG36" s="1"/>
      <c r="AH36" s="1"/>
    </row>
    <row r="37" spans="2:34" ht="16.5" thickBot="1">
      <c r="B37" s="222"/>
      <c r="C37" s="488" t="s">
        <v>31</v>
      </c>
      <c r="D37" s="488"/>
      <c r="E37" s="488"/>
      <c r="F37" s="488"/>
      <c r="G37" s="488"/>
      <c r="H37" s="488"/>
      <c r="I37" s="222"/>
      <c r="J37" s="222"/>
      <c r="K37" s="222"/>
      <c r="L37" s="222"/>
      <c r="M37" s="222"/>
      <c r="N37" s="222"/>
      <c r="O37" s="222"/>
      <c r="Q37" s="99"/>
      <c r="S37" s="1"/>
      <c r="T37" s="15"/>
      <c r="U37" s="10"/>
      <c r="V37" s="10"/>
      <c r="W37" s="10"/>
      <c r="X37" s="10"/>
      <c r="Y37" s="10"/>
      <c r="Z37" s="10"/>
      <c r="AA37" s="10"/>
      <c r="AB37" s="10"/>
      <c r="AC37" s="10"/>
      <c r="AD37" s="10"/>
      <c r="AE37" s="4"/>
      <c r="AF37" s="1"/>
      <c r="AG37" s="1"/>
      <c r="AH37" s="1"/>
    </row>
    <row r="38" spans="2:34">
      <c r="B38" s="44"/>
      <c r="C38" s="40"/>
      <c r="D38" s="40"/>
      <c r="E38" s="40"/>
      <c r="F38" s="40"/>
      <c r="G38" s="40"/>
      <c r="H38" s="113"/>
      <c r="I38" s="44"/>
      <c r="J38" s="44"/>
      <c r="K38" s="44"/>
      <c r="L38" s="44"/>
      <c r="M38" s="44"/>
      <c r="N38" s="44"/>
      <c r="O38" s="44"/>
      <c r="P38" s="1"/>
      <c r="Q38" s="1"/>
      <c r="R38" s="1"/>
      <c r="S38" s="1"/>
      <c r="T38" s="16"/>
      <c r="U38" s="11"/>
      <c r="V38" s="11"/>
      <c r="W38" s="11"/>
      <c r="X38" s="11"/>
      <c r="Y38" s="11"/>
      <c r="Z38" s="11"/>
      <c r="AA38" s="11"/>
      <c r="AB38" s="11"/>
      <c r="AC38" s="11"/>
      <c r="AD38" s="11"/>
      <c r="AE38" s="12"/>
      <c r="AF38" s="1"/>
      <c r="AG38" s="1"/>
      <c r="AH38" s="1"/>
    </row>
    <row r="39" spans="2:34">
      <c r="B39" s="40"/>
      <c r="C39" s="60" t="s">
        <v>97</v>
      </c>
      <c r="D39" s="40"/>
      <c r="E39" s="40"/>
      <c r="F39" s="40"/>
      <c r="G39" s="40"/>
      <c r="H39" s="40"/>
      <c r="I39" s="40"/>
      <c r="J39" s="40"/>
      <c r="K39" s="40"/>
      <c r="L39" s="40"/>
      <c r="M39" s="40"/>
      <c r="N39" s="40"/>
      <c r="O39" s="40"/>
      <c r="T39" s="25"/>
      <c r="U39" s="1"/>
      <c r="V39" s="1"/>
      <c r="W39" s="1"/>
      <c r="X39" s="1"/>
      <c r="Y39" s="1"/>
      <c r="Z39" s="1"/>
      <c r="AA39" s="1"/>
      <c r="AB39" s="1"/>
      <c r="AC39" s="1"/>
      <c r="AD39" s="1"/>
      <c r="AE39" s="13"/>
    </row>
    <row r="40" spans="2:34">
      <c r="B40" s="40"/>
      <c r="C40" s="60"/>
      <c r="D40" s="121" t="s">
        <v>26</v>
      </c>
      <c r="E40" s="40"/>
      <c r="F40" s="40"/>
      <c r="G40" s="40"/>
      <c r="H40" s="40"/>
      <c r="I40" s="40"/>
      <c r="J40" s="40"/>
      <c r="K40" s="40"/>
      <c r="L40" s="40"/>
      <c r="M40" s="40"/>
      <c r="N40" s="40"/>
      <c r="O40" s="40"/>
      <c r="T40" s="25"/>
      <c r="U40" s="490" t="s">
        <v>20</v>
      </c>
      <c r="V40" s="490"/>
      <c r="W40" s="490"/>
      <c r="X40" s="1"/>
      <c r="Y40" s="390" t="s">
        <v>6</v>
      </c>
      <c r="Z40" s="390"/>
      <c r="AA40" s="390"/>
      <c r="AB40" s="390" t="s">
        <v>23</v>
      </c>
      <c r="AC40" s="390"/>
      <c r="AD40" s="390"/>
      <c r="AE40" s="26" t="s">
        <v>24</v>
      </c>
    </row>
    <row r="41" spans="2:34" ht="15.75" hidden="1" thickBot="1">
      <c r="B41" s="40"/>
      <c r="C41" s="60"/>
      <c r="D41" s="40"/>
      <c r="E41" s="40"/>
      <c r="F41" s="40"/>
      <c r="G41" s="40"/>
      <c r="H41" s="40"/>
      <c r="I41" s="40"/>
      <c r="J41" s="40"/>
      <c r="K41" s="40"/>
      <c r="L41" s="40"/>
      <c r="M41" s="40"/>
      <c r="N41" s="40"/>
      <c r="O41" s="40"/>
      <c r="T41" s="25"/>
      <c r="U41" s="390"/>
      <c r="V41" s="390"/>
      <c r="W41" s="390"/>
      <c r="X41" s="1"/>
      <c r="Y41" s="390"/>
      <c r="Z41" s="390"/>
      <c r="AA41" s="390"/>
      <c r="AB41" s="390"/>
      <c r="AC41" s="390"/>
      <c r="AD41" s="390"/>
      <c r="AE41" s="26"/>
    </row>
    <row r="42" spans="2:34" hidden="1">
      <c r="B42" s="40"/>
      <c r="C42" s="40"/>
      <c r="D42" s="551" t="str">
        <f>IFERROR(IF(AND(AB60=0,AB61=0,AB62=0),"Vous ne pouvez pas bénéficier du fonds de solidarité pour le mois d'Octobre 2020",IF(AND(AB60&gt;AB61,AB60&gt;AB62),"Votre entreprise peut bénéficier d'une aide de "&amp;AB60&amp;" €, au titre des entreprises domiciliées dans des zones ayant subi des mesures de couvre-feu avec une perte de CA d'au-moins 50 % du CA en Octobre",IF(AB61&gt;AB62,"Votre entreprise peut bénéficier d'une aide de "&amp;AB61&amp;" €, au titre des entreprises domiciliées hors des zones ayant subi des mesures de couvre-feu avec une perte de CA d'au-moins "&amp;IF(AB52&gt;=0.7,70,50)&amp;" % du CA en Octobre","Votre entreprise peut bénéficier d'une aide de "&amp;AB62&amp;" €, au titre d'une fermeture Administrative au mois d'octobre"))),"Vous n'avez pas indiqué de chiffre d'affaires de référence")</f>
        <v>Vous ne pouvez pas bénéficier du fonds de solidarité pour le mois d'Octobre 2020</v>
      </c>
      <c r="E42" s="552"/>
      <c r="F42" s="552"/>
      <c r="G42" s="552"/>
      <c r="H42" s="552"/>
      <c r="I42" s="552"/>
      <c r="J42" s="552"/>
      <c r="K42" s="552"/>
      <c r="L42" s="552"/>
      <c r="M42" s="552"/>
      <c r="N42" s="552"/>
      <c r="O42" s="553"/>
      <c r="T42" s="491" t="s">
        <v>27</v>
      </c>
      <c r="U42" s="490"/>
      <c r="V42" s="490"/>
      <c r="W42" s="490"/>
      <c r="X42" s="1"/>
      <c r="Y42" s="7">
        <f>'Mon Entreprise'!I112</f>
        <v>0</v>
      </c>
      <c r="Z42" s="21"/>
      <c r="AA42" s="22"/>
      <c r="AB42" s="7">
        <f>IF('Mon Entreprise'!I112-'Mon Entreprise'!M112&lt;0,0,'Mon Entreprise'!I112-'Mon Entreprise'!M112)</f>
        <v>0</v>
      </c>
      <c r="AC42" s="1"/>
      <c r="AD42" s="14"/>
      <c r="AE42" s="27">
        <f>IFERROR(1-'Mon Entreprise'!M112/'Mon Entreprise'!I112,0)</f>
        <v>0</v>
      </c>
    </row>
    <row r="43" spans="2:34" ht="15" hidden="1" customHeight="1">
      <c r="D43" s="554"/>
      <c r="E43" s="496"/>
      <c r="F43" s="496"/>
      <c r="G43" s="496"/>
      <c r="H43" s="496"/>
      <c r="I43" s="496"/>
      <c r="J43" s="496"/>
      <c r="K43" s="496"/>
      <c r="L43" s="496"/>
      <c r="M43" s="496"/>
      <c r="N43" s="496"/>
      <c r="O43" s="555"/>
      <c r="T43" s="491" t="s">
        <v>25</v>
      </c>
      <c r="U43" s="490"/>
      <c r="V43" s="490"/>
      <c r="W43" s="490"/>
      <c r="X43" s="1"/>
      <c r="Y43" s="7">
        <f>'Mon Entreprise'!I98</f>
        <v>0</v>
      </c>
      <c r="Z43" s="21"/>
      <c r="AA43" s="22"/>
      <c r="AB43" s="7">
        <f>IF('Mon Entreprise'!I98-'Mon Entreprise'!M112&lt;0,0,'Mon Entreprise'!I98-'Mon Entreprise'!M112)</f>
        <v>0</v>
      </c>
      <c r="AC43" s="7"/>
      <c r="AD43" s="14"/>
      <c r="AE43" s="27">
        <f>IFERROR(1-'Mon Entreprise'!M112/'Mon Entreprise'!I98,0)</f>
        <v>0</v>
      </c>
    </row>
    <row r="44" spans="2:34" ht="15" hidden="1" customHeight="1">
      <c r="C44" s="104"/>
      <c r="D44" s="554"/>
      <c r="E44" s="496"/>
      <c r="F44" s="496"/>
      <c r="G44" s="496"/>
      <c r="H44" s="496"/>
      <c r="I44" s="496"/>
      <c r="J44" s="496"/>
      <c r="K44" s="496"/>
      <c r="L44" s="496"/>
      <c r="M44" s="496"/>
      <c r="N44" s="496"/>
      <c r="O44" s="555"/>
      <c r="Q44" s="99"/>
      <c r="R44" s="99"/>
      <c r="S44" s="99"/>
      <c r="T44" s="501" t="s">
        <v>22</v>
      </c>
      <c r="U44" s="502"/>
      <c r="V44" s="502"/>
      <c r="W44" s="502"/>
      <c r="X44" s="139"/>
      <c r="Y44" s="140" t="str">
        <f>IF('Mon Entreprise'!I176="","NC",'Mon Entreprise'!I176)</f>
        <v>NC</v>
      </c>
      <c r="Z44" s="141"/>
      <c r="AA44" s="142"/>
      <c r="AB44" s="143" t="str">
        <f>IFERROR(IF('Mon Entreprise'!I176-'Mon Entreprise'!M112&lt;0,0,'Mon Entreprise'!I176-'Mon Entreprise'!M112),"NC")</f>
        <v>NC</v>
      </c>
      <c r="AC44" s="385"/>
      <c r="AD44" s="145"/>
      <c r="AE44" s="146" t="str">
        <f>IFERROR(1-'Mon Entreprise'!M112/'Mon Entreprise'!I176,"NC")</f>
        <v>NC</v>
      </c>
      <c r="AF44" s="99"/>
    </row>
    <row r="45" spans="2:34" ht="15" hidden="1" customHeight="1">
      <c r="C45" s="104"/>
      <c r="D45" s="554"/>
      <c r="E45" s="496"/>
      <c r="F45" s="496"/>
      <c r="G45" s="496"/>
      <c r="H45" s="496"/>
      <c r="I45" s="496"/>
      <c r="J45" s="496"/>
      <c r="K45" s="496"/>
      <c r="L45" s="496"/>
      <c r="M45" s="496"/>
      <c r="N45" s="496"/>
      <c r="O45" s="555"/>
      <c r="T45" s="14"/>
      <c r="U45" s="1"/>
      <c r="V45" s="1"/>
      <c r="W45" s="1"/>
      <c r="X45" s="1"/>
      <c r="Y45" s="1"/>
      <c r="Z45" s="1"/>
      <c r="AA45" s="1"/>
      <c r="AB45" s="1"/>
      <c r="AC45" s="1"/>
      <c r="AD45" s="1"/>
      <c r="AE45" s="13"/>
    </row>
    <row r="46" spans="2:34" ht="15.75" hidden="1" customHeight="1" thickBot="1">
      <c r="C46" s="104"/>
      <c r="D46" s="556"/>
      <c r="E46" s="557"/>
      <c r="F46" s="557"/>
      <c r="G46" s="557"/>
      <c r="H46" s="557"/>
      <c r="I46" s="557"/>
      <c r="J46" s="557"/>
      <c r="K46" s="557"/>
      <c r="L46" s="557"/>
      <c r="M46" s="557"/>
      <c r="N46" s="557"/>
      <c r="O46" s="558"/>
      <c r="T46" s="537" t="s">
        <v>4</v>
      </c>
      <c r="U46" s="506"/>
      <c r="V46" s="506"/>
      <c r="W46" s="506"/>
      <c r="X46" s="506"/>
      <c r="Y46" s="506"/>
      <c r="Z46" s="124"/>
      <c r="AA46" s="14"/>
      <c r="AB46" s="19">
        <f>IFERROR(IF('Mon Entreprise'!K8&lt;Annexes!O17,IF(1-'Mon Entreprise'!M118/'Mon Entreprise'!I118&gt;=1-'Mon Entreprise'!M118/('Mon Entreprise'!I98*2),1-'Mon Entreprise'!M118/'Mon Entreprise'!I118,1-'Mon Entreprise'!M118/('Mon Entreprise'!I98*2)),1-'Mon Entreprise'!M118/'Mon Entreprise'!I190),0)</f>
        <v>0</v>
      </c>
      <c r="AC46" s="1"/>
      <c r="AD46" s="1"/>
      <c r="AE46" s="13"/>
    </row>
    <row r="47" spans="2:34" ht="18.75" customHeight="1">
      <c r="C47" s="80"/>
      <c r="D47" s="80"/>
      <c r="E47" s="80"/>
      <c r="F47" s="80"/>
      <c r="G47" s="80"/>
      <c r="H47" s="80"/>
      <c r="I47" s="80"/>
      <c r="J47" s="80"/>
      <c r="K47" s="80"/>
      <c r="L47" s="80"/>
      <c r="M47" s="80"/>
      <c r="N47" s="80"/>
      <c r="O47" s="80"/>
      <c r="T47" s="14"/>
      <c r="U47" s="506" t="s">
        <v>8</v>
      </c>
      <c r="V47" s="506"/>
      <c r="W47" s="506"/>
      <c r="X47" s="506"/>
      <c r="Y47" s="506"/>
      <c r="Z47" s="124"/>
      <c r="AA47" s="14"/>
      <c r="AB47" s="381" t="str">
        <f>IF((AND(Annexes!F5&gt;1,Annexes!F5&lt;=Annexes!H6)),"OUI","NON")</f>
        <v>NON</v>
      </c>
      <c r="AC47" s="1"/>
      <c r="AD47" s="1"/>
      <c r="AE47" s="13"/>
    </row>
    <row r="48" spans="2:34" ht="15" customHeight="1">
      <c r="T48" s="14"/>
      <c r="U48" s="562" t="s">
        <v>9</v>
      </c>
      <c r="V48" s="562"/>
      <c r="W48" s="562"/>
      <c r="X48" s="562"/>
      <c r="Y48" s="562"/>
      <c r="Z48" s="125"/>
      <c r="AA48" s="14"/>
      <c r="AB48" s="381" t="str">
        <f>IF((AND(Annexes!F7&gt;1,Annexes!F7&lt;=Annexes!H8)),"OUI","NON")</f>
        <v>NON</v>
      </c>
      <c r="AC48" s="1"/>
      <c r="AD48" s="1"/>
      <c r="AE48" s="13"/>
    </row>
    <row r="49" spans="3:31" ht="15" customHeight="1">
      <c r="C49" s="559" t="s">
        <v>400</v>
      </c>
      <c r="D49" s="559"/>
      <c r="E49" s="559"/>
      <c r="F49" s="559"/>
      <c r="G49" s="559"/>
      <c r="H49" s="559"/>
      <c r="I49" s="559"/>
      <c r="J49" s="559"/>
      <c r="K49" s="559"/>
      <c r="L49" s="559"/>
      <c r="M49" s="559"/>
      <c r="N49" s="559"/>
      <c r="O49" s="559"/>
      <c r="T49" s="14"/>
      <c r="U49" s="506" t="s">
        <v>71</v>
      </c>
      <c r="V49" s="506"/>
      <c r="W49" s="506"/>
      <c r="X49" s="506"/>
      <c r="Y49" s="506"/>
      <c r="Z49" s="124"/>
      <c r="AA49" s="14"/>
      <c r="AB49" s="381">
        <f>IF(AB47="OUI",Annexes!O6,IF(AND(AB48="OUI",AB46&gt;=0.8),Annexes!O6,Annexes!O5))</f>
        <v>1500</v>
      </c>
      <c r="AC49" s="1"/>
      <c r="AD49" s="1"/>
      <c r="AE49" s="13"/>
    </row>
    <row r="50" spans="3:31" ht="15" customHeight="1">
      <c r="C50" s="559"/>
      <c r="D50" s="559"/>
      <c r="E50" s="559"/>
      <c r="F50" s="559"/>
      <c r="G50" s="559"/>
      <c r="H50" s="559"/>
      <c r="I50" s="559"/>
      <c r="J50" s="559"/>
      <c r="K50" s="559"/>
      <c r="L50" s="559"/>
      <c r="M50" s="559"/>
      <c r="N50" s="559"/>
      <c r="O50" s="559"/>
      <c r="T50" s="14"/>
      <c r="U50" s="506" t="s">
        <v>72</v>
      </c>
      <c r="V50" s="506"/>
      <c r="W50" s="506"/>
      <c r="X50" s="506"/>
      <c r="Y50" s="506"/>
      <c r="Z50" s="124"/>
      <c r="AA50" s="14"/>
      <c r="AB50" s="381" t="str">
        <f>IF('Mon Entreprise'!K8&lt;=Annexes!Q24,"Oui","Non")</f>
        <v>Oui</v>
      </c>
      <c r="AC50" s="1"/>
      <c r="AD50" s="1"/>
      <c r="AE50" s="13"/>
    </row>
    <row r="51" spans="3:31" ht="15" customHeight="1">
      <c r="C51" s="58"/>
      <c r="D51" s="121" t="str">
        <f>IF(Annexes!M13=FALSE,"- L'entreprise ne semble pas avoir été impactée par le couvre-Feu de 21H à 6H","- L'entreprise a été impactée par le couvre-Feu de 21H à 6H")</f>
        <v>- L'entreprise ne semble pas avoir été impactée par le couvre-Feu de 21H à 6H</v>
      </c>
      <c r="E51" s="59"/>
      <c r="F51" s="59"/>
      <c r="G51" s="59"/>
      <c r="H51" s="59"/>
      <c r="I51" s="59"/>
      <c r="J51" s="59"/>
      <c r="K51" s="59"/>
      <c r="L51" s="59"/>
      <c r="M51" s="121"/>
      <c r="N51" s="121"/>
      <c r="O51" s="121"/>
      <c r="T51" s="14"/>
      <c r="U51" s="506" t="s">
        <v>84</v>
      </c>
      <c r="V51" s="506"/>
      <c r="W51" s="506"/>
      <c r="X51" s="506"/>
      <c r="Y51" s="506"/>
      <c r="Z51" s="124"/>
      <c r="AA51" s="14"/>
      <c r="AB51" s="381">
        <f>IF('Mon Entreprise'!K8&gt;=Annexes!O20,IF(AB42&gt;=AB44,AB42,AB44),IF(AB42&gt;=AB43,AB42,AB43))</f>
        <v>0</v>
      </c>
      <c r="AC51" s="1"/>
      <c r="AD51" s="1"/>
      <c r="AE51" s="13"/>
    </row>
    <row r="52" spans="3:31" ht="15" customHeight="1">
      <c r="C52" s="58"/>
      <c r="D52" s="560" t="str">
        <f>IF(AB47="OUI","- L'entreprise est mentionnée en annexe 1 (S1) du décret 2020-1328, et peut bénéficier à ce titre d'une aide plafonné à 10 000 €",IF(AND(AB48="OUI",AB46&gt;=0.8),"- L'entreprise est mentionnée en annexe 2 (S1 bis) du décret 2020-1328 ayant subi une perte de CA d'au moins 80 % entre le 15/03/2020 et le 15/05/2020, l'entreprise peut bénéficier à ce titre d'une aide plafonné à 10 000 €","- L'entreprise n'est pas mentionnée en annexe 1 (S1) ou en annexe 2 (S1 bis) du décret 2020-1328 et ayant subi une perte de CA d'au moins 80 % entre le 15/03/2020 et le 15/05/2020, l'entreprise peut donc bénéficier d'une aide plafonné à 1 500 €"))</f>
        <v>- L'entreprise n'est pas mentionnée en annexe 1 (S1) ou en annexe 2 (S1 bis) du décret 2020-1328 et ayant subi une perte de CA d'au moins 80 % entre le 15/03/2020 et le 15/05/2020, l'entreprise peut donc bénéficier d'une aide plafonné à 1 500 €</v>
      </c>
      <c r="E52" s="560"/>
      <c r="F52" s="560"/>
      <c r="G52" s="560"/>
      <c r="H52" s="560"/>
      <c r="I52" s="560"/>
      <c r="J52" s="560"/>
      <c r="K52" s="560"/>
      <c r="L52" s="560"/>
      <c r="M52" s="560"/>
      <c r="N52" s="560"/>
      <c r="O52" s="560"/>
      <c r="T52" s="14"/>
      <c r="U52" s="506" t="s">
        <v>85</v>
      </c>
      <c r="V52" s="506"/>
      <c r="W52" s="506"/>
      <c r="X52" s="506"/>
      <c r="Y52" s="506"/>
      <c r="Z52" s="124"/>
      <c r="AA52" s="14"/>
      <c r="AB52" s="19">
        <f>IF('Mon Entreprise'!K8&gt;=Annexes!O20,IF(AB42&gt;=AB44,AE42,AE44),IF(AB42&gt;=AB43,AE42,AE43))</f>
        <v>0</v>
      </c>
      <c r="AC52" s="1"/>
      <c r="AD52" s="1"/>
      <c r="AE52" s="13"/>
    </row>
    <row r="53" spans="3:31" ht="15" customHeight="1">
      <c r="C53" s="58"/>
      <c r="D53" s="560"/>
      <c r="E53" s="560"/>
      <c r="F53" s="560"/>
      <c r="G53" s="560"/>
      <c r="H53" s="560"/>
      <c r="I53" s="560"/>
      <c r="J53" s="560"/>
      <c r="K53" s="560"/>
      <c r="L53" s="560"/>
      <c r="M53" s="560"/>
      <c r="N53" s="560"/>
      <c r="O53" s="560"/>
      <c r="T53" s="14"/>
      <c r="U53" s="506" t="s">
        <v>73</v>
      </c>
      <c r="V53" s="506"/>
      <c r="W53" s="506"/>
      <c r="X53" s="506"/>
      <c r="Y53" s="506"/>
      <c r="Z53" s="124"/>
      <c r="AA53" s="14"/>
      <c r="AB53" s="381">
        <f>IF(AB52&gt;=0.7,IF(AB47="OUI",Annexes!O6,IF(AND(AB48="OUI",AB46&gt;=0.8),Annexes!O6,0)),IF(AB52&gt;=0.5,IF(AB47="OUI",Annexes!O5,IF(AND(AB48="OUI",AB46&gt;=0.8),Annexes!O5,0)),0))</f>
        <v>0</v>
      </c>
      <c r="AC53" s="1"/>
      <c r="AD53" s="1"/>
      <c r="AE53" s="13"/>
    </row>
    <row r="54" spans="3:31" ht="15" customHeight="1">
      <c r="C54" s="58"/>
      <c r="D54" s="121" t="str">
        <f>IFERROR(IF('Mon Entreprise'!K8&gt;=Annexes!O20,IF(AB42&gt;=AB44,"- Le CA de référence est celui d'octobre 2019, soit une perte de "&amp;ROUND(AB42,0)&amp;" €"&amp;" ==&gt; "&amp;ROUND(AE42*100,0)&amp;" %","- Le CA de référence est celui de la création, soit une perte de "&amp;ROUND(AB44,0)&amp;" €"&amp;" ==&gt; "&amp;ROUND(AE44*100,0)&amp;" %"),IF(AE42&gt;=AE43,"- Le CA de référence est celui de Octobre 2019, soit une perte de "&amp;ROUND(AB42,0)&amp;" €"&amp;" ==&gt; "&amp;ROUND(AE42*100,0)&amp;" %","- Le CA de référence est celui de l'exercice 2019, soit une perte de "&amp;ROUND(AB43,0)&amp;" €"&amp;" ==&gt; "&amp;ROUND(AE43*100,0)&amp;" %")),"")</f>
        <v>- Le CA de référence est celui de Octobre 2019, soit une perte de 0 € ==&gt; 0 %</v>
      </c>
      <c r="E54" s="121"/>
      <c r="F54" s="121"/>
      <c r="G54" s="121"/>
      <c r="H54" s="121"/>
      <c r="I54" s="121"/>
      <c r="J54" s="121"/>
      <c r="K54" s="121"/>
      <c r="L54" s="121"/>
      <c r="M54" s="121"/>
      <c r="N54" s="121"/>
      <c r="O54" s="121"/>
      <c r="T54" s="14"/>
      <c r="U54" s="506" t="s">
        <v>74</v>
      </c>
      <c r="V54" s="506"/>
      <c r="W54" s="506"/>
      <c r="X54" s="506"/>
      <c r="Y54" s="506"/>
      <c r="Z54" s="124"/>
      <c r="AA54" s="14"/>
      <c r="AB54" s="381">
        <f>IF(AB52&gt;=0.7,IF(AB47="OUI",Annexes!P6,IF(AND(AB48="OUI",AB46&gt;=0.8),Annexes!P6,1)),1)</f>
        <v>1</v>
      </c>
      <c r="AC54" s="1"/>
      <c r="AD54" s="1"/>
      <c r="AE54" s="13"/>
    </row>
    <row r="55" spans="3:31" ht="15" customHeight="1" thickBot="1">
      <c r="C55" s="58"/>
      <c r="D55" s="58"/>
      <c r="E55" s="58"/>
      <c r="F55" s="58"/>
      <c r="G55" s="58"/>
      <c r="H55" s="58"/>
      <c r="I55" s="58"/>
      <c r="J55" s="58"/>
      <c r="K55" s="58"/>
      <c r="L55" s="58"/>
      <c r="M55" s="58"/>
      <c r="N55" s="58"/>
      <c r="O55" s="58"/>
      <c r="T55" s="14"/>
      <c r="U55" s="490" t="s">
        <v>80</v>
      </c>
      <c r="V55" s="490"/>
      <c r="W55" s="490"/>
      <c r="X55" s="490"/>
      <c r="Y55" s="490"/>
      <c r="Z55" s="1"/>
      <c r="AA55" s="14"/>
      <c r="AB55" s="381">
        <f>IF('Mon Entreprise'!K8&gt;=Annexes!O20,IF(AB42&gt;=AB44,Y42,Y44),IF(AB42&gt;=AB43,Y42,Y43))</f>
        <v>0</v>
      </c>
      <c r="AC55" s="1"/>
      <c r="AD55" s="1"/>
      <c r="AE55" s="13"/>
    </row>
    <row r="56" spans="3:31" ht="15.75" customHeight="1">
      <c r="D56" s="508" t="str">
        <f>IFERROR(IF(AB50="Non","Vous avez débuté votre activité après le 30 Septembre 2020, vous ne pouvez donc pas bénéficier de cette aide",IF(Annexes!M13=FALSE,"L'entreprise ne semble pas avoir été impactée par le couvre-Feu de 21H à 6H",IF(AB52&gt;=0.5,IF(AB49=Annexes!O6,IF(AB51&gt;=Annexes!O6,"Dans votre cas, l'aide est Plafonnée, à "&amp;Annexes!O6&amp;" € pour le mois d'octobre",IF(AB51=0,"Vous n'avez pas indiqué de CA de référence","Vous pouvez bénéficier, au titre de cette aide, d'un montant de "&amp;ROUND(AB51,0)&amp;" € pour le mois d'octobre")),IF(AB49=Annexes!O5,IF(AB51&gt;Annexes!O5,"Dans votre cas, l'aide est Plafonnée, à "&amp;Annexes!O5&amp;" € pour le mois d'octobre",IF(AB51=0,"Vous n'avez pas indiqué de CA de référence","Vous pouvez bénéficier, au titre de cette aide, d'un montant de "&amp;ROUND(AB51,0)&amp;" € pour le mois d'octobre.")),)),"L'entreprise n'a pas subi de perte d'au-moins 50 % sur son CA d'Octobre 2020"))),"Vous n'avez pas indiqué de chiffre d'affaires de référence")</f>
        <v>L'entreprise ne semble pas avoir été impactée par le couvre-Feu de 21H à 6H</v>
      </c>
      <c r="E56" s="509"/>
      <c r="F56" s="509"/>
      <c r="G56" s="509"/>
      <c r="H56" s="509"/>
      <c r="I56" s="509"/>
      <c r="J56" s="509"/>
      <c r="K56" s="509"/>
      <c r="L56" s="509"/>
      <c r="M56" s="509"/>
      <c r="N56" s="509"/>
      <c r="O56" s="510"/>
      <c r="T56" s="14"/>
      <c r="U56" s="490" t="s">
        <v>401</v>
      </c>
      <c r="V56" s="490"/>
      <c r="W56" s="490"/>
      <c r="X56" s="490"/>
      <c r="Y56" s="490"/>
      <c r="Z56" s="1"/>
      <c r="AA56" s="14"/>
      <c r="AB56" s="381">
        <f>IFERROR(IF(AB51&gt;AB55*AB54,IF(AND(AB51&gt;1500,1500&gt;AB55*AB54),1500,IF(1500&gt;AB51,AB51,AB55*AB54)),AB51),0)</f>
        <v>0</v>
      </c>
      <c r="AC56" s="1"/>
      <c r="AD56" s="1"/>
      <c r="AE56" s="13"/>
    </row>
    <row r="57" spans="3:31" ht="15" customHeight="1">
      <c r="D57" s="511"/>
      <c r="E57" s="512"/>
      <c r="F57" s="512"/>
      <c r="G57" s="512"/>
      <c r="H57" s="512"/>
      <c r="I57" s="512"/>
      <c r="J57" s="512"/>
      <c r="K57" s="512"/>
      <c r="L57" s="512"/>
      <c r="M57" s="512"/>
      <c r="N57" s="512"/>
      <c r="O57" s="513"/>
      <c r="T57" s="14"/>
      <c r="U57" s="1"/>
      <c r="V57" s="1"/>
      <c r="W57" s="1"/>
      <c r="X57" s="1"/>
      <c r="Y57" s="1"/>
      <c r="Z57" s="1"/>
      <c r="AA57" s="1"/>
      <c r="AB57" s="1"/>
      <c r="AC57" s="1"/>
      <c r="AD57" s="1"/>
      <c r="AE57" s="13"/>
    </row>
    <row r="58" spans="3:31" ht="15" customHeight="1">
      <c r="D58" s="511"/>
      <c r="E58" s="512"/>
      <c r="F58" s="512"/>
      <c r="G58" s="512"/>
      <c r="H58" s="512"/>
      <c r="I58" s="512"/>
      <c r="J58" s="512"/>
      <c r="K58" s="512"/>
      <c r="L58" s="512"/>
      <c r="M58" s="512"/>
      <c r="N58" s="512"/>
      <c r="O58" s="513"/>
      <c r="T58" s="14"/>
      <c r="U58" s="1"/>
      <c r="V58" s="1"/>
      <c r="W58" s="1"/>
      <c r="X58" s="1"/>
      <c r="Y58" s="1"/>
      <c r="Z58" s="1"/>
      <c r="AA58" s="1"/>
      <c r="AB58" s="1"/>
      <c r="AC58" s="1"/>
      <c r="AD58" s="1"/>
      <c r="AE58" s="13"/>
    </row>
    <row r="59" spans="3:31" ht="15" customHeight="1" thickBot="1">
      <c r="D59" s="514"/>
      <c r="E59" s="515"/>
      <c r="F59" s="515"/>
      <c r="G59" s="515"/>
      <c r="H59" s="515"/>
      <c r="I59" s="515"/>
      <c r="J59" s="515"/>
      <c r="K59" s="515"/>
      <c r="L59" s="515"/>
      <c r="M59" s="515"/>
      <c r="N59" s="515"/>
      <c r="O59" s="516"/>
      <c r="T59" s="14"/>
      <c r="U59" s="1"/>
      <c r="V59" s="1"/>
      <c r="W59" s="1"/>
      <c r="X59" s="1"/>
      <c r="Y59" s="1"/>
      <c r="Z59" s="1"/>
      <c r="AA59" s="1"/>
      <c r="AB59" s="1"/>
      <c r="AC59" s="1"/>
      <c r="AD59" s="1"/>
      <c r="AE59" s="13"/>
    </row>
    <row r="60" spans="3:31" ht="15.75" customHeight="1">
      <c r="C60" s="78"/>
      <c r="D60" s="78"/>
      <c r="E60" s="78"/>
      <c r="F60" s="78"/>
      <c r="G60" s="78"/>
      <c r="H60" s="78"/>
      <c r="I60" s="78"/>
      <c r="J60" s="78"/>
      <c r="K60" s="78"/>
      <c r="L60" s="78"/>
      <c r="M60" s="78"/>
      <c r="N60" s="78"/>
      <c r="O60" s="78"/>
      <c r="T60" s="14"/>
      <c r="U60" s="490" t="s">
        <v>75</v>
      </c>
      <c r="V60" s="490"/>
      <c r="W60" s="490"/>
      <c r="X60" s="490"/>
      <c r="Y60" s="490"/>
      <c r="Z60" s="1"/>
      <c r="AA60" s="14"/>
      <c r="AB60" s="1">
        <f>IFERROR(IF(AB50="Non",0,IF(Annexes!M13=FALSE,0,IF(AB52&gt;=0.5,IF(AB49=Annexes!O6,IF(AB51&gt;=Annexes!O6,Annexes!O6,IF(AB51=0,0,ROUND(AB51,0))),IF(AB49=Annexes!O5,IF(AB51&gt;Annexes!O5,Annexes!O5,IF(AB51=0,0,ROUND(AB51,0))),)),0))),0)</f>
        <v>0</v>
      </c>
      <c r="AC60" s="1"/>
      <c r="AD60" s="1"/>
      <c r="AE60" s="13"/>
    </row>
    <row r="61" spans="3:31" ht="15" customHeight="1">
      <c r="T61" s="14"/>
      <c r="U61" s="490" t="s">
        <v>76</v>
      </c>
      <c r="V61" s="490"/>
      <c r="W61" s="490"/>
      <c r="X61" s="490"/>
      <c r="Y61" s="490"/>
      <c r="Z61" s="1"/>
      <c r="AA61" s="14"/>
      <c r="AB61" s="1">
        <f>IFERROR(IF(AB50="Non",0,IF(AB52&gt;=0.7,IF(AB47="OUI",IF(AB56&gt;=Annexes!O6,Annexes!O6,ROUND(AB56,0)),IF(AND(AB48="OUI",AB46&gt;=0.8),IF(AB56&gt;=Annexes!O6,Annexes!O6,ROUND(AB56,0)),0)),IF(AB52&gt;=0.5,IF(AB47="OUI",IF(AB51&gt;=Annexes!O5,Annexes!O5,ROUND(AB51,0)),IF(AND(AB48="OUI",AB46&gt;=0.8),IF(AB51&gt;=Annexes!O5,Annexes!O5,ROUND(AB51,0)),0)),0))),0)</f>
        <v>0</v>
      </c>
      <c r="AC61" s="1"/>
      <c r="AD61" s="1"/>
      <c r="AE61" s="13"/>
    </row>
    <row r="62" spans="3:31" ht="15" customHeight="1">
      <c r="C62" s="547" t="s">
        <v>402</v>
      </c>
      <c r="D62" s="547"/>
      <c r="E62" s="547"/>
      <c r="F62" s="547"/>
      <c r="G62" s="547"/>
      <c r="H62" s="547"/>
      <c r="I62" s="547"/>
      <c r="J62" s="547"/>
      <c r="K62" s="547"/>
      <c r="L62" s="547"/>
      <c r="M62" s="547"/>
      <c r="N62" s="547"/>
      <c r="O62" s="547"/>
      <c r="P62" s="40"/>
      <c r="T62" s="14"/>
      <c r="U62" s="490" t="s">
        <v>77</v>
      </c>
      <c r="V62" s="490"/>
      <c r="W62" s="490"/>
      <c r="X62" s="490"/>
      <c r="Y62" s="490"/>
      <c r="Z62" s="1"/>
      <c r="AA62" s="14"/>
      <c r="AB62" s="1">
        <f>IFERROR(IF(AB82="NON",0,IF(AB84="Non",0,IF(AB85&gt;Annexes!O7*(Annexes!M6-1),IF(Annexes!O7*(Annexes!M6-1)&gt;10000,10000,Annexes!O7*(Annexes!M6-1)),ROUND(IF(AB85&gt;10000,10000,AB85),0)))),0)</f>
        <v>0</v>
      </c>
      <c r="AC62" s="1"/>
      <c r="AD62" s="1"/>
      <c r="AE62" s="13"/>
    </row>
    <row r="63" spans="3:31" ht="15" customHeight="1">
      <c r="C63" s="547"/>
      <c r="D63" s="547"/>
      <c r="E63" s="547"/>
      <c r="F63" s="547"/>
      <c r="G63" s="547"/>
      <c r="H63" s="547"/>
      <c r="I63" s="547"/>
      <c r="J63" s="547"/>
      <c r="K63" s="547"/>
      <c r="L63" s="547"/>
      <c r="M63" s="547"/>
      <c r="N63" s="547"/>
      <c r="O63" s="547"/>
      <c r="P63" s="40"/>
      <c r="T63" s="14"/>
      <c r="U63" s="1"/>
      <c r="V63" s="1"/>
      <c r="W63" s="1"/>
      <c r="X63" s="1"/>
      <c r="Y63" s="1"/>
      <c r="Z63" s="1"/>
      <c r="AA63" s="1"/>
      <c r="AB63" s="1"/>
      <c r="AC63" s="1"/>
      <c r="AD63" s="1"/>
      <c r="AE63" s="13"/>
    </row>
    <row r="64" spans="3:31" ht="15" customHeight="1">
      <c r="C64" s="60"/>
      <c r="D64" s="561" t="str">
        <f>IF(AB52&gt;=0.7,IF(AB47="OUI","- L'entreprise a subi une perte d'au-moins 70 % en Octobre 2020 et est mentionnée en annexe 1 (S1) du décret 2020-1328, l'entreprise peut bénéficier à ce titre d'une aide plafonné à 10 000 €",IF(AND(AB48="OUI",AB46&gt;=0.8),"- L'entreprise a subi une perte d'au-moins 70 % en Octobre 2020 et est mentionnée en annexe 2 (S1 bis) du"&amp;" décret 2020-1328 ayant aussi eu une perte de CA d'au moins 80 % entre le 15/03/2020 et le 15/05/2020, l'entreprise peut bénéficier à ce titre d'une aide plafonné à 10 000 €","- L'entreprise n'est pas mentionnée en annexe 1 (S1) ou en annexe 2 (S1 bis) du décret 2020-1328 et ayant subi une perte de CA d'au moins 80 % entre le 15/03/2020 et le 15/05/2020, l'entreprise ne peut donc pas bénéficier de cette aide")),IF(AB52&gt;=0.5,IF(AB47="OUI","- L'entreprise a subi une perte d'au-moins 50 % en Octobre 2020 et est mentionnée en annexe 1 (S1) du décret 2020-1328, l'entreprise peut bénéficier à ce titre d'une aide plafonné à 1 500 €",IF(AND(AB48="OUI",AB46&gt;=0.8),"- L'entreprise a subi une perte d'au-moins 50 % en Octobre 2020 et est mentionnée en annexe 2 (S1 bis) du décret 2020-1328 ayant aussi eu une perte de CA d'au moins 80 % entre le 15/03/2020 et le 15/05/2020,"&amp;" l'entreprise peut bénéficier à ce titre d'une aide plafonné à 1 500 €","- L'entreprise n'est pas mentionnée en annexe 1 (S1) ou en annexe 2 (S1 bis) du décret 2020-1328 et ayant subi une perte de CA d'au moins 80 % entre le 15/03/2020 et le 15/05/2020, l'entreprise ne peut donc pas bénéficier de cette aide")),"- L'entreprise n'a pas subi de perte d'au-moins 50 % sur son CA d'Octobre 2020"))</f>
        <v>- L'entreprise n'a pas subi de perte d'au-moins 50 % sur son CA d'Octobre 2020</v>
      </c>
      <c r="E64" s="561"/>
      <c r="F64" s="561"/>
      <c r="G64" s="561"/>
      <c r="H64" s="561"/>
      <c r="I64" s="561"/>
      <c r="J64" s="561"/>
      <c r="K64" s="561"/>
      <c r="L64" s="561"/>
      <c r="M64" s="561"/>
      <c r="N64" s="561"/>
      <c r="O64" s="561"/>
      <c r="P64" s="40"/>
      <c r="T64" s="14"/>
      <c r="U64" s="1"/>
      <c r="V64" s="1"/>
      <c r="W64" s="1"/>
      <c r="X64" s="1"/>
      <c r="Y64" s="1"/>
      <c r="Z64" s="1"/>
      <c r="AA64" s="1"/>
      <c r="AB64" s="1"/>
      <c r="AC64" s="1"/>
      <c r="AD64" s="1"/>
      <c r="AE64" s="13"/>
    </row>
    <row r="65" spans="2:31" ht="15" customHeight="1">
      <c r="C65" s="60"/>
      <c r="D65" s="561"/>
      <c r="E65" s="561"/>
      <c r="F65" s="561"/>
      <c r="G65" s="561"/>
      <c r="H65" s="561"/>
      <c r="I65" s="561"/>
      <c r="J65" s="561"/>
      <c r="K65" s="561"/>
      <c r="L65" s="561"/>
      <c r="M65" s="561"/>
      <c r="N65" s="561"/>
      <c r="O65" s="561"/>
      <c r="P65" s="40"/>
      <c r="T65" s="14"/>
      <c r="U65" s="1"/>
      <c r="V65" s="1"/>
      <c r="W65" s="1"/>
      <c r="X65" s="1"/>
      <c r="Y65" s="1"/>
      <c r="Z65" s="1"/>
      <c r="AA65" s="1"/>
      <c r="AB65" s="1"/>
      <c r="AC65" s="1"/>
      <c r="AD65" s="1"/>
      <c r="AE65" s="13"/>
    </row>
    <row r="66" spans="2:31" ht="15" customHeight="1">
      <c r="C66" s="60"/>
      <c r="D66" s="60" t="str">
        <f>IFERROR(IF('Mon Entreprise'!K8&gt;=Annexes!O20,IF(AB42&gt;=AB44,"- Le CA de référence est celui d'octobre 2019, soit une perte de "&amp;ROUND(AB42,0)&amp;" €"&amp;" ==&gt; "&amp;ROUND(AE42*100,0)&amp;" %","- Le CA de référence est celui de la création, soit une perte de "&amp;ROUND(AB44,0)&amp;" €"&amp;" ==&gt; "&amp;ROUND(AE44*100,0)&amp;" %"),IF(AB42&gt;=AB43,"- Le CA de référence est celui de Octobre 2019, soit une perte de "&amp;ROUND(AB42,0)&amp;" €"&amp;" ==&gt; "&amp;ROUND(AE42*100,0)&amp;" %","- Le CA de référence est celui de l'exercice 2019, soit une perte de "&amp;ROUND(AB43,0)&amp;" €"&amp;" ==&gt; "&amp;ROUND(AE43*100,0)&amp;" %")),"")</f>
        <v>- Le CA de référence est celui de Octobre 2019, soit une perte de 0 € ==&gt; 0 %</v>
      </c>
      <c r="E66" s="60"/>
      <c r="F66" s="60"/>
      <c r="G66" s="60"/>
      <c r="H66" s="122"/>
      <c r="I66" s="60"/>
      <c r="J66" s="60"/>
      <c r="K66" s="60"/>
      <c r="M66" s="60"/>
      <c r="N66" s="60"/>
      <c r="O66" s="60"/>
      <c r="P66" s="40"/>
      <c r="T66" s="384"/>
      <c r="U66" s="1"/>
      <c r="V66" s="1"/>
      <c r="W66" s="1"/>
      <c r="X66" s="1"/>
      <c r="Y66" s="1"/>
      <c r="Z66" s="1"/>
      <c r="AA66" s="1"/>
      <c r="AB66" s="1"/>
      <c r="AC66" s="1"/>
      <c r="AD66" s="1"/>
      <c r="AE66" s="13"/>
    </row>
    <row r="67" spans="2:31" ht="15" customHeight="1">
      <c r="C67" s="60"/>
      <c r="D67" s="60" t="str">
        <f>IF(AB52&gt;=0.7,IF(AB47="OUI","- Le CA de référence est plafonné à 60 %, il est donc de "&amp;ROUND(AB55*0.6,0)&amp;" €",IF(AND(AB48="OUI",AB46&gt;=0.8),"- Le CA de référence est plafonné à 60 %, il est donc de "&amp;ROUND(AB55*0.6,0)&amp;" €","- Sans ticket modérateur")),"- Sans ticket modérateur")</f>
        <v>- Sans ticket modérateur</v>
      </c>
      <c r="E67" s="60"/>
      <c r="F67" s="60"/>
      <c r="G67" s="60"/>
      <c r="H67" s="60"/>
      <c r="I67" s="60"/>
      <c r="J67" s="60"/>
      <c r="K67" s="60"/>
      <c r="L67" s="60"/>
      <c r="M67" s="60"/>
      <c r="N67" s="60"/>
      <c r="O67" s="60"/>
      <c r="P67" s="40"/>
      <c r="T67" s="29"/>
      <c r="U67" s="1"/>
      <c r="V67" s="1"/>
      <c r="W67" s="1"/>
      <c r="X67" s="1"/>
      <c r="Y67" s="1"/>
      <c r="Z67" s="1"/>
      <c r="AA67" s="1"/>
      <c r="AB67" s="1"/>
      <c r="AC67" s="1"/>
      <c r="AD67" s="1"/>
      <c r="AE67" s="13"/>
    </row>
    <row r="68" spans="2:31" ht="15" customHeight="1" thickBot="1">
      <c r="T68" s="14"/>
      <c r="U68" s="1"/>
      <c r="V68" s="1"/>
      <c r="W68" s="1"/>
      <c r="X68" s="1"/>
      <c r="Y68" s="1"/>
      <c r="Z68" s="1"/>
      <c r="AA68" s="1"/>
      <c r="AB68" s="1"/>
      <c r="AC68" s="1"/>
      <c r="AD68" s="1"/>
      <c r="AE68" s="13"/>
    </row>
    <row r="69" spans="2:31" ht="15" customHeight="1">
      <c r="D69" s="508" t="str">
        <f>IFERROR(IF(AB50="Non","Vous avez débuté votre activité après le 30 Septembre 2020, vous ne pouvez donc pas bénéficier de cette aide",IF(AB52&gt;=0.7,IF(AB47="OUI",IF(AB56&gt;=Annexes!O6,"Dans votre cas, l'aide est Plafonnée, à "&amp;Annexes!O6&amp;" € pour le mois d'octobre","Vous pouvez bénéficier, au titre de cette aide, d'un montant de "&amp;ROUND(AB56,0)&amp;" € pour le mois d'octobre"),IF(AND(AB48="OUI",AB46&gt;=0.8),IF(AB56&gt;=Annexes!O6,"Dans votre cas, l'aide est Plafonnée, à "&amp;Annexes!O6&amp;" € pour le mois d'octobre","Vous pouvez bénéficier, au titre de cette aide, d'un montant de "&amp;ROUND(AB56,0)&amp;" € pour le mois d'octobre"),"L'entreprise n'est pas mentionnée en annexe 1 (S1) ou en annexe 2 (S1 bis) du décret 2020-1328 et ayant subi une perte de CA d'au moins 80 % entre le 15/03/2020 et le 15/05/2020, l'entreprise ne peut donc pas bénéficier de cette aide")),IF(AB52&gt;=0.5,IF(AB47="OUI",IF(AB51&gt;=Annexes!O5,"Dans votre cas, l'aide est Plafonnée, à "&amp;Annexes!O5&amp;" € pour le mois d'octobre","Vous pouvez bénéficier, au titre de cette aide, d'un montant de "&amp;ROUND(AB51,0)&amp;" € pour le mois d'octobre"),IF(AND(AB48="OUI",AB46&gt;=0.8),IF(AB51&gt;=Annexes!O5,"Dans votre cas, l'aide est Plafonnée, à "&amp;Annexes!O5&amp;" € pour le mois d'octobre","Vous pouvez bénéficier, au titre de cette aide, d'un montant de "&amp;ROUND(AB51,0)&amp;" € pour le mois d'octobre"),"L'entreprise n'est pas mentionnée en annexe 1 (S1) ou en annexe 2 (S1 bis) du décret 2020-1328 et ayant subi une perte de CA d'au moins 80 % entre le 15/03/2020 et le 15/05/2020, l'entreprise ne peut donc pas bénéficier de cette aide")),"L'entreprise n'a pas subi de perte d'au-moins 50 % sur son CA d'Octobre 2020"))),"Vous n'avez pas indiqué de chiffre d'affaires de référence")</f>
        <v>L'entreprise n'a pas subi de perte d'au-moins 50 % sur son CA d'Octobre 2020</v>
      </c>
      <c r="E69" s="509"/>
      <c r="F69" s="509"/>
      <c r="G69" s="509"/>
      <c r="H69" s="509"/>
      <c r="I69" s="509"/>
      <c r="J69" s="509"/>
      <c r="K69" s="509"/>
      <c r="L69" s="509"/>
      <c r="M69" s="509"/>
      <c r="N69" s="509"/>
      <c r="O69" s="510"/>
      <c r="T69" s="30"/>
      <c r="U69" s="1"/>
      <c r="V69" s="1"/>
      <c r="W69" s="1"/>
      <c r="X69" s="1"/>
      <c r="Y69" s="1"/>
      <c r="Z69" s="1"/>
      <c r="AA69" s="1"/>
      <c r="AB69" s="1"/>
      <c r="AC69" s="1"/>
      <c r="AD69" s="1"/>
      <c r="AE69" s="13"/>
    </row>
    <row r="70" spans="2:31" ht="15" customHeight="1">
      <c r="D70" s="511"/>
      <c r="E70" s="512"/>
      <c r="F70" s="512"/>
      <c r="G70" s="512"/>
      <c r="H70" s="512"/>
      <c r="I70" s="512"/>
      <c r="J70" s="512"/>
      <c r="K70" s="512"/>
      <c r="L70" s="512"/>
      <c r="M70" s="512"/>
      <c r="N70" s="512"/>
      <c r="O70" s="513"/>
      <c r="T70" s="20"/>
      <c r="U70" s="38"/>
      <c r="V70" s="1"/>
      <c r="W70" s="1"/>
      <c r="X70" s="1"/>
      <c r="Y70" s="1"/>
      <c r="Z70" s="1"/>
      <c r="AA70" s="1"/>
      <c r="AB70" s="1"/>
      <c r="AC70" s="1"/>
      <c r="AD70" s="1"/>
      <c r="AE70" s="13"/>
    </row>
    <row r="71" spans="2:31" ht="15.75" customHeight="1">
      <c r="D71" s="511"/>
      <c r="E71" s="512"/>
      <c r="F71" s="512"/>
      <c r="G71" s="512"/>
      <c r="H71" s="512"/>
      <c r="I71" s="512"/>
      <c r="J71" s="512"/>
      <c r="K71" s="512"/>
      <c r="L71" s="512"/>
      <c r="M71" s="512"/>
      <c r="N71" s="512"/>
      <c r="O71" s="513"/>
      <c r="T71" s="14"/>
      <c r="U71" s="1"/>
      <c r="V71" s="1"/>
      <c r="W71" s="1"/>
      <c r="X71" s="1"/>
      <c r="Y71" s="1"/>
      <c r="Z71" s="1"/>
      <c r="AA71" s="1"/>
      <c r="AB71" s="1"/>
      <c r="AC71" s="1"/>
      <c r="AD71" s="1"/>
      <c r="AE71" s="13"/>
    </row>
    <row r="72" spans="2:31" ht="15.75" customHeight="1" thickBot="1">
      <c r="D72" s="514"/>
      <c r="E72" s="515"/>
      <c r="F72" s="515"/>
      <c r="G72" s="515"/>
      <c r="H72" s="515"/>
      <c r="I72" s="515"/>
      <c r="J72" s="515"/>
      <c r="K72" s="515"/>
      <c r="L72" s="515"/>
      <c r="M72" s="515"/>
      <c r="N72" s="515"/>
      <c r="O72" s="516"/>
      <c r="T72" s="14"/>
      <c r="U72" s="1"/>
      <c r="V72" s="1"/>
      <c r="W72" s="1"/>
      <c r="X72" s="1"/>
      <c r="Y72" s="1"/>
      <c r="Z72" s="1"/>
      <c r="AA72" s="1"/>
      <c r="AB72" s="1"/>
      <c r="AC72" s="1"/>
      <c r="AD72" s="1"/>
      <c r="AE72" s="13"/>
    </row>
    <row r="73" spans="2:31" ht="15" customHeight="1">
      <c r="C73" s="127"/>
      <c r="D73" s="127"/>
      <c r="E73" s="10"/>
      <c r="F73" s="10"/>
      <c r="G73" s="10"/>
      <c r="H73" s="10"/>
      <c r="I73" s="10"/>
      <c r="J73" s="10"/>
      <c r="K73" s="10"/>
      <c r="L73" s="10"/>
      <c r="M73" s="128"/>
      <c r="N73" s="10"/>
      <c r="O73" s="10"/>
      <c r="T73" s="14"/>
      <c r="U73" s="1"/>
      <c r="V73" s="1"/>
      <c r="W73" s="1"/>
      <c r="X73" s="1"/>
      <c r="Y73" s="1"/>
      <c r="Z73" s="1"/>
      <c r="AA73" s="1"/>
      <c r="AB73" s="1"/>
      <c r="AC73" s="1"/>
      <c r="AD73" s="1"/>
      <c r="AE73" s="13"/>
    </row>
    <row r="74" spans="2:31" ht="15" customHeight="1">
      <c r="B74" s="5"/>
      <c r="C74" s="5"/>
      <c r="D74" s="5"/>
      <c r="P74" s="1"/>
      <c r="T74" s="14"/>
      <c r="U74" s="1"/>
      <c r="V74" s="1"/>
      <c r="W74" s="1"/>
      <c r="X74" s="1"/>
      <c r="Y74" s="1"/>
      <c r="Z74" s="1"/>
      <c r="AA74" s="1"/>
      <c r="AB74" s="1"/>
      <c r="AC74" s="1"/>
      <c r="AD74" s="1"/>
      <c r="AE74" s="13"/>
    </row>
    <row r="75" spans="2:31" ht="15.75" customHeight="1">
      <c r="B75" s="58"/>
      <c r="C75" s="121" t="s">
        <v>63</v>
      </c>
      <c r="D75" s="121"/>
      <c r="E75" s="60"/>
      <c r="F75" s="60"/>
      <c r="G75" s="60"/>
      <c r="H75" s="60"/>
      <c r="I75" s="60"/>
      <c r="J75" s="60"/>
      <c r="K75" s="60"/>
      <c r="L75" s="380"/>
      <c r="M75" s="60"/>
      <c r="N75" s="60"/>
      <c r="O75" s="60"/>
      <c r="P75" s="44"/>
      <c r="T75" s="14"/>
      <c r="U75" s="1"/>
      <c r="V75" s="1"/>
      <c r="W75" s="1"/>
      <c r="X75" s="1"/>
      <c r="Y75" s="1"/>
      <c r="Z75" s="1"/>
      <c r="AA75" s="1"/>
      <c r="AB75" s="1"/>
      <c r="AC75" s="1"/>
      <c r="AD75" s="1"/>
      <c r="AE75" s="13"/>
    </row>
    <row r="76" spans="2:31" ht="15" customHeight="1">
      <c r="B76" s="40"/>
      <c r="C76" s="60"/>
      <c r="D76" s="60" t="str">
        <f>"- Nombre de jours de fermetures au mois d'octobre : "&amp;IF(Annexes!M9=FALSE,0,IF(Annexes!M6=1,0,Annexes!M6-1))&amp;" jour(s)"</f>
        <v>- Nombre de jours de fermetures au mois d'octobre : 0 jour(s)</v>
      </c>
      <c r="E76" s="60"/>
      <c r="F76" s="60"/>
      <c r="G76" s="60"/>
      <c r="H76" s="60"/>
      <c r="I76" s="60"/>
      <c r="J76" s="60"/>
      <c r="K76" s="60"/>
      <c r="L76" s="60"/>
      <c r="M76" s="60"/>
      <c r="N76" s="60"/>
      <c r="O76" s="60"/>
      <c r="P76" s="44"/>
      <c r="Q76" s="44"/>
      <c r="R76" s="1"/>
      <c r="S76" s="1"/>
      <c r="T76" s="188"/>
      <c r="U76" s="490" t="s">
        <v>20</v>
      </c>
      <c r="V76" s="490"/>
      <c r="W76" s="490"/>
      <c r="X76" s="1"/>
      <c r="Y76" s="390" t="s">
        <v>6</v>
      </c>
      <c r="Z76" s="390"/>
      <c r="AA76" s="390"/>
      <c r="AB76" s="390" t="s">
        <v>23</v>
      </c>
      <c r="AC76" s="390"/>
      <c r="AD76" s="390"/>
      <c r="AE76" s="26" t="s">
        <v>24</v>
      </c>
    </row>
    <row r="77" spans="2:31" ht="15" customHeight="1">
      <c r="B77" s="58"/>
      <c r="C77" s="121"/>
      <c r="D77" s="121"/>
      <c r="E77" s="60" t="str">
        <f>IF(Annexes!M9=FALSE,"Vous n'avez pas coché la case Fermeture administrative de Septembre à Octobre",IF(Annexes!M6=1,"Vous n'avez pas de jour de fermeture en Octobre",""))</f>
        <v>Vous n'avez pas coché la case Fermeture administrative de Septembre à Octobre</v>
      </c>
      <c r="F77" s="60"/>
      <c r="G77" s="60"/>
      <c r="H77" s="60"/>
      <c r="I77" s="60"/>
      <c r="J77" s="60"/>
      <c r="K77" s="60"/>
      <c r="L77" s="60"/>
      <c r="M77" s="60"/>
      <c r="N77" s="60"/>
      <c r="O77" s="60"/>
      <c r="P77" s="61"/>
      <c r="Q77" s="44"/>
      <c r="R77" s="44"/>
      <c r="S77" s="1"/>
      <c r="T77" s="491" t="s">
        <v>29</v>
      </c>
      <c r="U77" s="490"/>
      <c r="V77" s="490"/>
      <c r="W77" s="490"/>
      <c r="X77" s="1"/>
      <c r="Y77" s="7">
        <f>'Mon Entreprise'!M109</f>
        <v>0</v>
      </c>
      <c r="Z77" s="21"/>
      <c r="AA77" s="22"/>
      <c r="AB77" s="7">
        <f>IF('Mon Entreprise'!I109-'Mon Entreprise'!M109&lt;0,0,'Mon Entreprise'!I109-'Mon Entreprise'!M109)</f>
        <v>0</v>
      </c>
      <c r="AC77" s="1"/>
      <c r="AD77" s="14"/>
      <c r="AE77" s="27">
        <f>IFERROR(1-'Mon Entreprise'!M109/'Mon Entreprise'!I109,0)</f>
        <v>0</v>
      </c>
    </row>
    <row r="78" spans="2:31" ht="15" customHeight="1">
      <c r="B78" s="62"/>
      <c r="C78" s="123"/>
      <c r="D78" s="123" t="str">
        <f>IFERROR(IF('Mon Entreprise'!K8&gt;=Annexes!O20,IF(AB77&gt;=AB79,"- Le CA de référence est celui d'octobre 2019, soit une perte de "&amp;ROUND(AB77,0)&amp;" €"&amp;" ==&gt; "&amp;ROUND(AE77*100,0)&amp;" %","- Le CA de référence est celui de la création, soit une perte de "&amp;ROUND(AB79,0)&amp;" €"&amp;" ==&gt; "&amp;ROUND(AE79*100,0)&amp;" %"),IF(AB77&gt;=AB78,"- Le CA de référence est celui d'Octobre 2019, soit une perte de "&amp;ROUND(AB77,0)&amp;" €"&amp;" ==&gt; "&amp;ROUND(AE77*100,0)&amp;" %","- Le CA de référence est celui de l'exercice 2019, soit une perte de "&amp;ROUND(AB78,0)&amp;" €"&amp;" ==&gt; "&amp;ROUND(AE78*100,0)&amp;" %")),"")</f>
        <v>- Le CA de référence est celui d'Octobre 2019, soit une perte de 0 € ==&gt; 0 %</v>
      </c>
      <c r="E78" s="60"/>
      <c r="F78" s="60"/>
      <c r="G78" s="60"/>
      <c r="H78" s="60"/>
      <c r="I78" s="60"/>
      <c r="J78" s="60"/>
      <c r="K78" s="60"/>
      <c r="L78" s="60"/>
      <c r="M78" s="60"/>
      <c r="N78" s="60"/>
      <c r="O78" s="60"/>
      <c r="P78" s="40"/>
      <c r="Q78" s="44"/>
      <c r="R78" s="44"/>
      <c r="S78" s="1"/>
      <c r="T78" s="491" t="s">
        <v>25</v>
      </c>
      <c r="U78" s="490"/>
      <c r="V78" s="490"/>
      <c r="W78" s="490"/>
      <c r="X78" s="1"/>
      <c r="Y78" s="7">
        <f>'Mon Entreprise'!I96*(Annexes!M4-1)/360</f>
        <v>0</v>
      </c>
      <c r="Z78" s="21"/>
      <c r="AA78" s="22"/>
      <c r="AB78" s="7">
        <f>IF('Mon Entreprise'!I96*(Annexes!M6-1)/360-'Mon Entreprise'!M109&lt;0,0,'Mon Entreprise'!I96*(Annexes!M6-1)/360-'Mon Entreprise'!M109)</f>
        <v>0</v>
      </c>
      <c r="AC78" s="7"/>
      <c r="AD78" s="14"/>
      <c r="AE78" s="27">
        <f>IFERROR(1-'Mon Entreprise'!M109/('Mon Entreprise'!I96*(Annexes!M6-1)/360),0)</f>
        <v>0</v>
      </c>
    </row>
    <row r="79" spans="2:31" ht="15" customHeight="1" thickBot="1">
      <c r="C79" s="5"/>
      <c r="D79" s="5"/>
      <c r="Q79" s="61"/>
      <c r="R79" s="44"/>
      <c r="S79" s="1"/>
      <c r="T79" s="491" t="s">
        <v>22</v>
      </c>
      <c r="U79" s="490"/>
      <c r="V79" s="490"/>
      <c r="W79" s="490"/>
      <c r="X79" s="1"/>
      <c r="Y79" s="18" t="str">
        <f>IFERROR(IF('Mon Entreprise'!K8&gt;=Annexes!O20,'Mon Entreprise'!I178,"NC"),"NC")</f>
        <v>NC</v>
      </c>
      <c r="Z79" s="23"/>
      <c r="AA79" s="22"/>
      <c r="AB79" s="37" t="str">
        <f>IFERROR(IF('Mon Entreprise'!K8&gt;=Annexes!O20,IF('Mon Entreprise'!I178-'Mon Entreprise'!M109&lt;0,0,'Mon Entreprise'!I178-'Mon Entreprise'!M109),"NC"),"NC")</f>
        <v>NC</v>
      </c>
      <c r="AC79" s="381"/>
      <c r="AD79" s="14"/>
      <c r="AE79" s="28" t="str">
        <f>IFERROR(IF('Mon Entreprise'!K8&gt;=Annexes!O20,1-'Mon Entreprise'!M109/'Mon Entreprise'!I178,"NC"),"NC")</f>
        <v>NC</v>
      </c>
    </row>
    <row r="80" spans="2:31" ht="15" customHeight="1">
      <c r="B80" s="5"/>
      <c r="C80" s="5"/>
      <c r="D80" s="538" t="str">
        <f>IFERROR(IF(AB82="NON","Vous avez débuté votre activité après le 30 Septembre 2020, vous ne pouvez donc pas bénéficier de cette aide",IF(AB84="Non","Vous n'avez pas eu de fermeture administrative en octobre, vous ne pouvez donc pas bénéficier de cette aide",IF(AB85&gt;Annexes!O7*(Annexes!M6-1),"Dans votre cas, l'aide est Plafonnée sur 333 €/jour, soit "&amp;IF(Annexes!O7*(Annexes!M6-1)&gt;10000,10000,Annexes!O7*(Annexes!M6-1))&amp;" €, pour le mois d'octobre","Vous pouvez bénéficier, au titre de cette aide, d'un montant de "&amp;ROUND(IF(AB85&gt;10000,10000,AB85),0)&amp;" € pour le mois d'octobre"))),"Vous n'avez pas indiqué de chiffre d'affaires de référence")</f>
        <v>Vous n'avez pas eu de fermeture administrative en octobre, vous ne pouvez donc pas bénéficier de cette aide</v>
      </c>
      <c r="E80" s="539"/>
      <c r="F80" s="539"/>
      <c r="G80" s="539"/>
      <c r="H80" s="539"/>
      <c r="I80" s="539"/>
      <c r="J80" s="539"/>
      <c r="K80" s="539"/>
      <c r="L80" s="539"/>
      <c r="M80" s="539"/>
      <c r="N80" s="539"/>
      <c r="O80" s="540"/>
      <c r="Q80" s="40"/>
      <c r="R80" s="61"/>
      <c r="T80" s="384"/>
      <c r="U80" s="381"/>
      <c r="V80" s="381"/>
      <c r="W80" s="381"/>
      <c r="X80" s="1"/>
      <c r="Y80" s="18"/>
      <c r="Z80" s="23"/>
      <c r="AA80" s="21"/>
      <c r="AB80" s="37"/>
      <c r="AC80" s="381"/>
      <c r="AD80" s="1"/>
      <c r="AE80" s="28"/>
    </row>
    <row r="81" spans="2:31" ht="15" customHeight="1">
      <c r="B81" s="5"/>
      <c r="C81" s="5"/>
      <c r="D81" s="541"/>
      <c r="E81" s="542"/>
      <c r="F81" s="542"/>
      <c r="G81" s="542"/>
      <c r="H81" s="542"/>
      <c r="I81" s="542"/>
      <c r="J81" s="542"/>
      <c r="K81" s="542"/>
      <c r="L81" s="542"/>
      <c r="M81" s="542"/>
      <c r="N81" s="542"/>
      <c r="O81" s="543"/>
      <c r="Q81" s="40"/>
      <c r="R81" s="61"/>
      <c r="T81" s="14"/>
      <c r="U81" s="1"/>
      <c r="V81" s="1"/>
      <c r="W81" s="1"/>
      <c r="X81" s="1"/>
      <c r="Y81" s="1"/>
      <c r="Z81" s="1"/>
      <c r="AA81" s="1"/>
      <c r="AB81" s="1"/>
      <c r="AC81" s="1"/>
      <c r="AD81" s="1"/>
      <c r="AE81" s="13"/>
    </row>
    <row r="82" spans="2:31" ht="15" customHeight="1">
      <c r="B82" s="5"/>
      <c r="C82" s="5"/>
      <c r="D82" s="541"/>
      <c r="E82" s="542"/>
      <c r="F82" s="542"/>
      <c r="G82" s="542"/>
      <c r="H82" s="542"/>
      <c r="I82" s="542"/>
      <c r="J82" s="542"/>
      <c r="K82" s="542"/>
      <c r="L82" s="542"/>
      <c r="M82" s="542"/>
      <c r="N82" s="542"/>
      <c r="O82" s="543"/>
      <c r="R82" s="40"/>
      <c r="T82" s="14"/>
      <c r="U82" s="506" t="s">
        <v>72</v>
      </c>
      <c r="V82" s="506"/>
      <c r="W82" s="506"/>
      <c r="X82" s="506"/>
      <c r="Y82" s="506"/>
      <c r="Z82" s="386"/>
      <c r="AA82" s="14"/>
      <c r="AB82" s="381" t="str">
        <f>IF('Mon Entreprise'!K8&lt;=Annexes!Q24,"Oui","Non")</f>
        <v>Oui</v>
      </c>
      <c r="AC82" s="1"/>
      <c r="AD82" s="1"/>
      <c r="AE82" s="13"/>
    </row>
    <row r="83" spans="2:31" ht="15" customHeight="1" thickBot="1">
      <c r="C83" s="5"/>
      <c r="D83" s="544"/>
      <c r="E83" s="545"/>
      <c r="F83" s="545"/>
      <c r="G83" s="545"/>
      <c r="H83" s="545"/>
      <c r="I83" s="545"/>
      <c r="J83" s="545"/>
      <c r="K83" s="545"/>
      <c r="L83" s="545"/>
      <c r="M83" s="545"/>
      <c r="N83" s="545"/>
      <c r="O83" s="546"/>
      <c r="T83" s="14"/>
      <c r="U83" s="490" t="s">
        <v>78</v>
      </c>
      <c r="V83" s="490"/>
      <c r="W83" s="490"/>
      <c r="X83" s="490"/>
      <c r="Y83" s="490"/>
      <c r="Z83" s="381"/>
      <c r="AA83" s="14"/>
      <c r="AB83" s="381">
        <f>IF(Annexes!M9=FALSE,0,IF(Annexes!M6=1,0,Annexes!M6-1))</f>
        <v>0</v>
      </c>
      <c r="AC83" s="1"/>
      <c r="AD83" s="1"/>
      <c r="AE83" s="13"/>
    </row>
    <row r="84" spans="2:31" ht="15.75" customHeight="1">
      <c r="B84" s="5"/>
      <c r="C84" s="5"/>
      <c r="D84" s="5"/>
      <c r="T84" s="14"/>
      <c r="U84" s="490" t="s">
        <v>79</v>
      </c>
      <c r="V84" s="490"/>
      <c r="W84" s="490"/>
      <c r="X84" s="490"/>
      <c r="Y84" s="490"/>
      <c r="Z84" s="381"/>
      <c r="AA84" s="14"/>
      <c r="AB84" s="381" t="str">
        <f>IF(Annexes!M9=FALSE,"Non",IF(Annexes!M6=1,"Non","Oui"))</f>
        <v>Non</v>
      </c>
      <c r="AC84" s="1"/>
      <c r="AD84" s="1"/>
      <c r="AE84" s="13"/>
    </row>
    <row r="85" spans="2:31" ht="15" customHeight="1">
      <c r="T85" s="14"/>
      <c r="U85" s="490" t="s">
        <v>80</v>
      </c>
      <c r="V85" s="490"/>
      <c r="W85" s="490"/>
      <c r="X85" s="490"/>
      <c r="Y85" s="490"/>
      <c r="Z85" s="130"/>
      <c r="AA85" s="14"/>
      <c r="AB85" s="37">
        <f>IF('Mon Entreprise'!K8&gt;=Annexes!O20,IF(AB77&gt;=AB79,AB77,AB79),IF(AB77&gt;=AB78,AB77,AB78))</f>
        <v>0</v>
      </c>
      <c r="AC85" s="1"/>
      <c r="AD85" s="1"/>
      <c r="AE85" s="13"/>
    </row>
    <row r="86" spans="2:31" ht="15.75" customHeight="1">
      <c r="B86" s="5"/>
      <c r="C86" s="5"/>
      <c r="D86" s="5"/>
      <c r="T86" s="14"/>
      <c r="U86" s="381"/>
      <c r="V86" s="381"/>
      <c r="W86" s="381"/>
      <c r="X86" s="381"/>
      <c r="Y86" s="381"/>
      <c r="Z86" s="130"/>
      <c r="AA86" s="1"/>
      <c r="AB86" s="37"/>
      <c r="AC86" s="1"/>
      <c r="AD86" s="1"/>
      <c r="AE86" s="13"/>
    </row>
    <row r="87" spans="2:31" ht="15" customHeight="1" thickBot="1">
      <c r="B87" s="220"/>
      <c r="C87" s="488" t="s">
        <v>30</v>
      </c>
      <c r="D87" s="488"/>
      <c r="E87" s="488"/>
      <c r="F87" s="488"/>
      <c r="G87" s="488"/>
      <c r="H87" s="488"/>
      <c r="I87" s="221"/>
      <c r="J87" s="221"/>
      <c r="K87" s="221"/>
      <c r="L87" s="221"/>
      <c r="M87" s="221"/>
      <c r="N87" s="221"/>
      <c r="O87" s="221"/>
      <c r="P87" s="1"/>
      <c r="T87" s="15"/>
      <c r="U87" s="10"/>
      <c r="V87" s="10"/>
      <c r="W87" s="10"/>
      <c r="X87" s="10"/>
      <c r="Y87" s="10"/>
      <c r="Z87" s="10"/>
      <c r="AA87" s="10"/>
      <c r="AB87" s="10"/>
      <c r="AC87" s="10"/>
      <c r="AD87" s="10"/>
      <c r="AE87" s="4"/>
    </row>
    <row r="88" spans="2:31" ht="15.75">
      <c r="B88" s="63"/>
      <c r="C88" s="24"/>
      <c r="D88" s="24"/>
      <c r="E88" s="24"/>
      <c r="F88" s="24"/>
      <c r="G88" s="24"/>
      <c r="H88" s="24"/>
      <c r="I88" s="1"/>
      <c r="J88" s="1"/>
      <c r="K88" s="1"/>
      <c r="L88" s="1"/>
      <c r="M88" s="1"/>
      <c r="N88" s="1"/>
      <c r="O88" s="1"/>
      <c r="P88" s="1"/>
      <c r="T88" s="14"/>
      <c r="U88" s="1"/>
      <c r="V88" s="1"/>
      <c r="W88" s="1"/>
      <c r="X88" s="1"/>
      <c r="Y88" s="1"/>
      <c r="Z88" s="1"/>
      <c r="AA88" s="1"/>
      <c r="AB88" s="1"/>
      <c r="AC88" s="1"/>
      <c r="AD88" s="1"/>
      <c r="AE88" s="13"/>
    </row>
    <row r="89" spans="2:31" ht="15.75">
      <c r="B89" s="103"/>
      <c r="C89" s="489" t="s">
        <v>96</v>
      </c>
      <c r="D89" s="489"/>
      <c r="E89" s="489"/>
      <c r="F89" s="489"/>
      <c r="G89" s="489"/>
      <c r="H89" s="489"/>
      <c r="I89" s="489"/>
      <c r="J89" s="489"/>
      <c r="K89" s="489"/>
      <c r="L89" s="489"/>
      <c r="M89" s="489"/>
      <c r="N89" s="489"/>
      <c r="O89" s="489"/>
      <c r="P89" s="1"/>
      <c r="Q89" s="1"/>
      <c r="T89" s="14"/>
      <c r="U89" s="1"/>
      <c r="V89" s="1"/>
      <c r="W89" s="1"/>
      <c r="X89" s="1"/>
      <c r="Y89" s="1"/>
      <c r="Z89" s="1"/>
      <c r="AA89" s="1"/>
      <c r="AB89" s="1"/>
      <c r="AC89" s="1"/>
      <c r="AD89" s="1"/>
      <c r="AE89" s="13"/>
    </row>
    <row r="90" spans="2:31" ht="15.75">
      <c r="B90" s="103"/>
      <c r="C90" s="387"/>
      <c r="D90" s="60" t="s">
        <v>26</v>
      </c>
      <c r="E90" s="387"/>
      <c r="F90" s="387"/>
      <c r="G90" s="387"/>
      <c r="H90" s="387"/>
      <c r="I90" s="387"/>
      <c r="J90" s="387"/>
      <c r="K90" s="387"/>
      <c r="L90" s="387"/>
      <c r="M90" s="387"/>
      <c r="N90" s="387"/>
      <c r="O90" s="387"/>
      <c r="P90" s="1"/>
      <c r="Q90" s="1"/>
      <c r="T90" s="14"/>
      <c r="U90" s="1"/>
      <c r="V90" s="1"/>
      <c r="W90" s="1"/>
      <c r="X90" s="1"/>
      <c r="Y90" s="1"/>
      <c r="Z90" s="1"/>
      <c r="AA90" s="1"/>
      <c r="AB90" s="1"/>
      <c r="AC90" s="1"/>
      <c r="AD90" s="1"/>
      <c r="AE90" s="13"/>
    </row>
    <row r="91" spans="2:31" ht="16.5" hidden="1" thickBot="1">
      <c r="B91" s="24"/>
      <c r="C91" s="24"/>
      <c r="D91" s="24"/>
      <c r="E91" s="24"/>
      <c r="F91" s="24"/>
      <c r="G91" s="24"/>
      <c r="H91" s="24"/>
      <c r="P91" s="1"/>
      <c r="Q91" s="1"/>
      <c r="R91" s="1"/>
      <c r="S91" s="1"/>
      <c r="T91" s="14"/>
      <c r="U91" s="1"/>
      <c r="V91" s="1"/>
      <c r="W91" s="1"/>
      <c r="X91" s="1"/>
      <c r="Y91" s="1"/>
      <c r="Z91" s="1"/>
      <c r="AA91" s="1"/>
      <c r="AB91" s="1"/>
      <c r="AC91" s="1"/>
      <c r="AD91" s="1"/>
      <c r="AE91" s="13"/>
    </row>
    <row r="92" spans="2:31" ht="15.75" hidden="1">
      <c r="B92" s="24"/>
      <c r="C92" s="24"/>
      <c r="D92" s="492" t="str">
        <f>IFERROR(IF(AND(AB117=0,AB118=0),"Vous ne pouvez pas bénéficier du fonds de solidarité pour le mois de Novembre 2020",IF(AB117&gt;AB118,"Votre entreprise peut bénéficier d'une aide de "&amp;AB117&amp;" €, au titre d'une perte d'au-moins 50 % de votre CA en Novembre 2020","Votre entreprise peut bénéficier d'une aide de "&amp;AB118&amp;" €, au titre d'une fermeture Administrative, ou d'une perte d'au moins 50 % de votre CA pour les activités mentionnées en annexe 1, ou en annexe 2 ayant une perte de CA d'au moins 80 % entre le 15/03/2020 et le 15/05/2020")),"Vous n'avez pas indiqué de chiffre d'affaires de référence")</f>
        <v>Vous ne pouvez pas bénéficier du fonds de solidarité pour le mois de Novembre 2020</v>
      </c>
      <c r="E92" s="493"/>
      <c r="F92" s="493"/>
      <c r="G92" s="493"/>
      <c r="H92" s="493"/>
      <c r="I92" s="493"/>
      <c r="J92" s="493"/>
      <c r="K92" s="493"/>
      <c r="L92" s="493"/>
      <c r="M92" s="493"/>
      <c r="N92" s="493"/>
      <c r="O92" s="494"/>
      <c r="P92" s="1"/>
      <c r="Q92" s="1"/>
      <c r="R92" s="1"/>
      <c r="S92" s="1"/>
      <c r="T92" s="25"/>
      <c r="U92" s="490" t="s">
        <v>20</v>
      </c>
      <c r="V92" s="490"/>
      <c r="W92" s="490"/>
      <c r="X92" s="1"/>
      <c r="Y92" s="390" t="s">
        <v>6</v>
      </c>
      <c r="Z92" s="390"/>
      <c r="AA92" s="390"/>
      <c r="AB92" s="390" t="s">
        <v>23</v>
      </c>
      <c r="AC92" s="390"/>
      <c r="AD92" s="390"/>
      <c r="AE92" s="26" t="s">
        <v>24</v>
      </c>
    </row>
    <row r="93" spans="2:31" ht="15.75" hidden="1">
      <c r="B93" s="24"/>
      <c r="C93" s="24"/>
      <c r="D93" s="495"/>
      <c r="E93" s="496"/>
      <c r="F93" s="496"/>
      <c r="G93" s="496"/>
      <c r="H93" s="496"/>
      <c r="I93" s="496"/>
      <c r="J93" s="496"/>
      <c r="K93" s="496"/>
      <c r="L93" s="496"/>
      <c r="M93" s="496"/>
      <c r="N93" s="496"/>
      <c r="O93" s="497"/>
      <c r="P93" s="1"/>
      <c r="Q93" s="1"/>
      <c r="R93" s="1"/>
      <c r="S93" s="1"/>
      <c r="T93" s="25"/>
      <c r="U93" s="390"/>
      <c r="V93" s="390"/>
      <c r="W93" s="390"/>
      <c r="X93" s="1"/>
      <c r="Y93" s="390"/>
      <c r="Z93" s="390"/>
      <c r="AA93" s="390"/>
      <c r="AB93" s="390"/>
      <c r="AC93" s="390"/>
      <c r="AD93" s="390"/>
      <c r="AE93" s="26"/>
    </row>
    <row r="94" spans="2:31" ht="15.75" hidden="1" customHeight="1">
      <c r="B94" s="24"/>
      <c r="C94" s="24"/>
      <c r="D94" s="495"/>
      <c r="E94" s="496"/>
      <c r="F94" s="496"/>
      <c r="G94" s="496"/>
      <c r="H94" s="496"/>
      <c r="I94" s="496"/>
      <c r="J94" s="496"/>
      <c r="K94" s="496"/>
      <c r="L94" s="496"/>
      <c r="M94" s="496"/>
      <c r="N94" s="496"/>
      <c r="O94" s="497"/>
      <c r="P94" s="1"/>
      <c r="Q94" s="1"/>
      <c r="R94" s="1"/>
      <c r="S94" s="1"/>
      <c r="T94" s="491" t="s">
        <v>98</v>
      </c>
      <c r="U94" s="490"/>
      <c r="V94" s="490"/>
      <c r="W94" s="490"/>
      <c r="X94" s="1"/>
      <c r="Y94" s="7">
        <f>'Mon Entreprise'!I114</f>
        <v>0</v>
      </c>
      <c r="Z94" s="133"/>
      <c r="AA94" s="21"/>
      <c r="AB94" s="7">
        <f>IF('Mon Entreprise'!I114-'Mon Entreprise'!M114&lt;0,0,'Mon Entreprise'!I114-'Mon Entreprise'!M114)</f>
        <v>0</v>
      </c>
      <c r="AC94" s="13"/>
      <c r="AD94" s="1"/>
      <c r="AE94" s="27">
        <f>IFERROR(1-'Mon Entreprise'!M114/'Mon Entreprise'!I114,0)</f>
        <v>0</v>
      </c>
    </row>
    <row r="95" spans="2:31" ht="15.75" hidden="1">
      <c r="B95" s="24"/>
      <c r="C95" s="24"/>
      <c r="D95" s="495"/>
      <c r="E95" s="496"/>
      <c r="F95" s="496"/>
      <c r="G95" s="496"/>
      <c r="H95" s="496"/>
      <c r="I95" s="496"/>
      <c r="J95" s="496"/>
      <c r="K95" s="496"/>
      <c r="L95" s="496"/>
      <c r="M95" s="496"/>
      <c r="N95" s="496"/>
      <c r="O95" s="497"/>
      <c r="P95" s="1"/>
      <c r="Q95" s="109"/>
      <c r="R95" s="1"/>
      <c r="S95" s="1"/>
      <c r="T95" s="491" t="s">
        <v>25</v>
      </c>
      <c r="U95" s="490"/>
      <c r="V95" s="490"/>
      <c r="W95" s="490"/>
      <c r="X95" s="1"/>
      <c r="Y95" s="7">
        <f>'Mon Entreprise'!I98</f>
        <v>0</v>
      </c>
      <c r="Z95" s="133"/>
      <c r="AA95" s="21"/>
      <c r="AB95" s="7">
        <f>IF('Mon Entreprise'!I98-'Mon Entreprise'!M114&lt;0,0,'Mon Entreprise'!I98-'Mon Entreprise'!M114)</f>
        <v>0</v>
      </c>
      <c r="AC95" s="36"/>
      <c r="AD95" s="1"/>
      <c r="AE95" s="27">
        <f>IFERROR(1-'Mon Entreprise'!M114/'Mon Entreprise'!I98,0)</f>
        <v>0</v>
      </c>
    </row>
    <row r="96" spans="2:31" ht="16.5" hidden="1" thickBot="1">
      <c r="B96" s="24"/>
      <c r="C96" s="24"/>
      <c r="D96" s="498"/>
      <c r="E96" s="499"/>
      <c r="F96" s="499"/>
      <c r="G96" s="499"/>
      <c r="H96" s="499"/>
      <c r="I96" s="499"/>
      <c r="J96" s="499"/>
      <c r="K96" s="499"/>
      <c r="L96" s="499"/>
      <c r="M96" s="499"/>
      <c r="N96" s="499"/>
      <c r="O96" s="500"/>
      <c r="P96" s="1"/>
      <c r="Q96" s="1"/>
      <c r="R96" s="109"/>
      <c r="S96" s="109"/>
      <c r="T96" s="491" t="s">
        <v>22</v>
      </c>
      <c r="U96" s="490"/>
      <c r="V96" s="490"/>
      <c r="W96" s="490"/>
      <c r="X96" s="1"/>
      <c r="Y96" s="18" t="str">
        <f>IF('Mon Entreprise'!I176="","NC",'Mon Entreprise'!I176)</f>
        <v>NC</v>
      </c>
      <c r="Z96" s="134"/>
      <c r="AA96" s="21"/>
      <c r="AB96" s="37" t="str">
        <f>IFERROR(IF('Mon Entreprise'!I176-'Mon Entreprise'!M114&lt;0,0,'Mon Entreprise'!I176-'Mon Entreprise'!M114),"NC")</f>
        <v>NC</v>
      </c>
      <c r="AC96" s="135"/>
      <c r="AD96" s="1"/>
      <c r="AE96" s="28" t="str">
        <f>IFERROR(1-'Mon Entreprise'!M114/'Mon Entreprise'!I176,"NC")</f>
        <v>NC</v>
      </c>
    </row>
    <row r="97" spans="2:32">
      <c r="B97" s="8"/>
      <c r="C97" s="79"/>
      <c r="D97" s="79"/>
      <c r="E97" s="78"/>
      <c r="F97" s="78"/>
      <c r="G97" s="78"/>
      <c r="H97" s="78"/>
      <c r="I97" s="78"/>
      <c r="J97" s="78"/>
      <c r="K97" s="78"/>
      <c r="L97" s="78"/>
      <c r="M97" s="78"/>
      <c r="N97" s="78"/>
      <c r="O97" s="78"/>
      <c r="Q97" s="1"/>
      <c r="R97" s="1"/>
      <c r="S97" s="1"/>
      <c r="T97" s="384"/>
      <c r="U97" s="381"/>
      <c r="V97" s="381"/>
      <c r="W97" s="381"/>
      <c r="X97" s="1"/>
      <c r="Y97" s="18"/>
      <c r="Z97" s="23"/>
      <c r="AA97" s="21"/>
      <c r="AB97" s="37"/>
      <c r="AC97" s="381"/>
      <c r="AD97" s="1"/>
      <c r="AE97" s="28"/>
      <c r="AF97" s="99"/>
    </row>
    <row r="98" spans="2:32">
      <c r="Q98" s="1"/>
      <c r="R98" s="1"/>
      <c r="S98" s="1"/>
      <c r="T98" s="14"/>
      <c r="U98" s="1"/>
      <c r="V98" s="1"/>
      <c r="W98" s="1"/>
      <c r="X98" s="1"/>
      <c r="Y98" s="1"/>
      <c r="Z98" s="1"/>
      <c r="AA98" s="1"/>
      <c r="AB98" s="1"/>
      <c r="AC98" s="1"/>
      <c r="AD98" s="1"/>
      <c r="AE98" s="13"/>
    </row>
    <row r="99" spans="2:32">
      <c r="C99" s="60" t="s">
        <v>62</v>
      </c>
      <c r="D99" s="60"/>
      <c r="E99" s="60"/>
      <c r="F99" s="60"/>
      <c r="G99" s="60"/>
      <c r="H99" s="60"/>
      <c r="I99" s="60"/>
      <c r="J99" s="40"/>
      <c r="K99" s="40"/>
      <c r="L99" s="40"/>
      <c r="M99" s="40"/>
      <c r="N99" s="40"/>
      <c r="O99" s="40"/>
      <c r="R99" s="1"/>
      <c r="S99" s="1"/>
      <c r="T99" s="14"/>
      <c r="U99" s="506" t="s">
        <v>72</v>
      </c>
      <c r="V99" s="506"/>
      <c r="W99" s="506"/>
      <c r="X99" s="506"/>
      <c r="Y99" s="506"/>
      <c r="Z99" s="1"/>
      <c r="AA99" s="14"/>
      <c r="AB99" s="381" t="str">
        <f>IF('Mon Entreprise'!K8&lt;=Annexes!Q24,"Oui","Non")</f>
        <v>Oui</v>
      </c>
      <c r="AC99" s="1"/>
      <c r="AD99" s="1"/>
      <c r="AE99" s="13"/>
    </row>
    <row r="100" spans="2:32">
      <c r="C100" s="60"/>
      <c r="D100" s="60" t="str">
        <f>IFERROR(IF('Mon Entreprise'!K8&gt;=Annexes!O20,IF(AB94&gt;=AB96,"Le CA de référence est celui de Novembre 2019, soit une perte de "&amp;ROUND(AB94,0)&amp;" €"&amp;" ==&gt; "&amp;ROUND(AE94*100,0)&amp;" %","Le CA de référence est celui de la création, soit une perte de "&amp;ROUND(AB96,0)&amp;" €"&amp;" ==&gt; "&amp;ROUND(AE96*100,0)&amp;" %"),IF(AB94&gt;=AB95,"Le CA de référence est celui de Novembre 2019, soit une perte de "&amp;ROUND(AB94,0)&amp;" €"&amp;" ==&gt; "&amp;ROUND(AE94*100,0)&amp;" %","Le CA de référence est celui de l'exercice 2019, soit une perte de "&amp;ROUND(AB95,0)&amp;" €"&amp;" ==&gt; "&amp;ROUND(AE95*100,0)&amp;" %")),"")</f>
        <v>Le CA de référence est celui de Novembre 2019, soit une perte de 0 € ==&gt; 0 %</v>
      </c>
      <c r="E100" s="60"/>
      <c r="F100" s="60"/>
      <c r="G100" s="60"/>
      <c r="H100" s="60"/>
      <c r="I100" s="60"/>
      <c r="J100" s="40"/>
      <c r="K100" s="40"/>
      <c r="L100" s="40"/>
      <c r="M100" s="40"/>
      <c r="N100" s="40"/>
      <c r="O100" s="40"/>
      <c r="T100" s="14"/>
      <c r="U100" s="506" t="s">
        <v>84</v>
      </c>
      <c r="V100" s="506"/>
      <c r="W100" s="506"/>
      <c r="X100" s="506"/>
      <c r="Y100" s="506"/>
      <c r="Z100" s="1"/>
      <c r="AA100" s="14"/>
      <c r="AB100" s="381">
        <f>IF('Mon Entreprise'!K8&gt;=Annexes!O20,IF(AB94&gt;=AB96,AB94,AB96),IF(AB94&gt;=AB95,AB94,AB95))</f>
        <v>0</v>
      </c>
      <c r="AC100" s="1"/>
      <c r="AD100" s="1"/>
      <c r="AE100" s="13"/>
    </row>
    <row r="101" spans="2:32" ht="15" customHeight="1" thickBot="1">
      <c r="T101" s="14"/>
      <c r="U101" s="506" t="s">
        <v>85</v>
      </c>
      <c r="V101" s="506"/>
      <c r="W101" s="506"/>
      <c r="X101" s="506"/>
      <c r="Y101" s="506"/>
      <c r="Z101" s="1"/>
      <c r="AA101" s="14"/>
      <c r="AB101" s="19">
        <f>IF('Mon Entreprise'!K8&gt;=Annexes!O20,IF(AB94&gt;=AB96,AE94,AE96),IF(AB94&gt;=AB95,AE94,AE95))</f>
        <v>0</v>
      </c>
      <c r="AC101" s="1"/>
      <c r="AD101" s="1"/>
      <c r="AE101" s="13"/>
    </row>
    <row r="102" spans="2:32" ht="15" customHeight="1">
      <c r="D102" s="508" t="str">
        <f>IFERROR(IF(AB99="Non","Vous avez débuté votre activité après le 30 Septembre 2020, vous ne pouvez donc pas bénéficier de cette aide",IF(AB101&gt;=0.5,IF(AB100&gt;Annexes!O5,"Dans votre cas, l'aide est Plafonnée, à "&amp;Annexes!O5&amp;" € pour le mois de novembre","Vous pouvez bénéficier, au titre de cette aide, d'un montant de "&amp;ROUND(AB100,0)&amp;" € pour le mois de novembre"),"L'entreprise n'a pas une perte d'au moins 50 % en novembre 2020")),"Vous n'avez pas indiqué de chiffre d'affaires de référence")</f>
        <v>L'entreprise n'a pas une perte d'au moins 50 % en novembre 2020</v>
      </c>
      <c r="E102" s="509"/>
      <c r="F102" s="509"/>
      <c r="G102" s="509"/>
      <c r="H102" s="509"/>
      <c r="I102" s="509"/>
      <c r="J102" s="509"/>
      <c r="K102" s="509"/>
      <c r="L102" s="509"/>
      <c r="M102" s="509"/>
      <c r="N102" s="509"/>
      <c r="O102" s="510"/>
      <c r="T102" s="14"/>
      <c r="U102" s="386"/>
      <c r="V102" s="386"/>
      <c r="W102" s="386"/>
      <c r="X102" s="386"/>
      <c r="Y102" s="386"/>
      <c r="Z102" s="1"/>
      <c r="AA102" s="1"/>
      <c r="AB102" s="19"/>
      <c r="AC102" s="1"/>
      <c r="AD102" s="1"/>
      <c r="AE102" s="13"/>
    </row>
    <row r="103" spans="2:32" ht="15" customHeight="1">
      <c r="D103" s="511"/>
      <c r="E103" s="512"/>
      <c r="F103" s="512"/>
      <c r="G103" s="512"/>
      <c r="H103" s="512"/>
      <c r="I103" s="512"/>
      <c r="J103" s="512"/>
      <c r="K103" s="512"/>
      <c r="L103" s="512"/>
      <c r="M103" s="512"/>
      <c r="N103" s="512"/>
      <c r="O103" s="513"/>
      <c r="T103" s="14"/>
      <c r="U103" s="386"/>
      <c r="V103" s="386"/>
      <c r="W103" s="386"/>
      <c r="X103" s="386"/>
      <c r="Y103" s="386"/>
      <c r="Z103" s="1"/>
      <c r="AA103" s="1"/>
      <c r="AB103" s="19"/>
      <c r="AC103" s="1"/>
      <c r="AD103" s="1"/>
      <c r="AE103" s="13"/>
    </row>
    <row r="104" spans="2:32" ht="15" customHeight="1">
      <c r="D104" s="511"/>
      <c r="E104" s="512"/>
      <c r="F104" s="512"/>
      <c r="G104" s="512"/>
      <c r="H104" s="512"/>
      <c r="I104" s="512"/>
      <c r="J104" s="512"/>
      <c r="K104" s="512"/>
      <c r="L104" s="512"/>
      <c r="M104" s="512"/>
      <c r="N104" s="512"/>
      <c r="O104" s="513"/>
      <c r="T104" s="14"/>
      <c r="U104" s="490"/>
      <c r="V104" s="490"/>
      <c r="W104" s="490"/>
      <c r="X104" s="490"/>
      <c r="Y104" s="490"/>
      <c r="Z104" s="1"/>
      <c r="AA104" s="1"/>
      <c r="AB104" s="381"/>
      <c r="AC104" s="1"/>
      <c r="AD104" s="1"/>
      <c r="AE104" s="13"/>
    </row>
    <row r="105" spans="2:32" ht="15" customHeight="1" thickBot="1">
      <c r="D105" s="514"/>
      <c r="E105" s="515"/>
      <c r="F105" s="515"/>
      <c r="G105" s="515"/>
      <c r="H105" s="515"/>
      <c r="I105" s="515"/>
      <c r="J105" s="515"/>
      <c r="K105" s="515"/>
      <c r="L105" s="515"/>
      <c r="M105" s="515"/>
      <c r="N105" s="515"/>
      <c r="O105" s="516"/>
      <c r="T105" s="14"/>
      <c r="U105" s="1"/>
      <c r="V105" s="1"/>
      <c r="W105" s="1"/>
      <c r="X105" s="1"/>
      <c r="Y105" s="1"/>
      <c r="Z105" s="1"/>
      <c r="AA105" s="1"/>
      <c r="AB105" s="381"/>
      <c r="AC105" s="1"/>
      <c r="AD105" s="1"/>
      <c r="AE105" s="13"/>
    </row>
    <row r="106" spans="2:32" ht="15" customHeight="1">
      <c r="C106" s="78"/>
      <c r="D106" s="78"/>
      <c r="E106" s="78"/>
      <c r="F106" s="78"/>
      <c r="G106" s="78"/>
      <c r="H106" s="78"/>
      <c r="I106" s="78"/>
      <c r="J106" s="78"/>
      <c r="K106" s="78"/>
      <c r="L106" s="78"/>
      <c r="M106" s="78"/>
      <c r="N106" s="78"/>
      <c r="O106" s="78"/>
      <c r="T106" s="536" t="s">
        <v>4</v>
      </c>
      <c r="U106" s="521"/>
      <c r="V106" s="521"/>
      <c r="W106" s="521"/>
      <c r="X106" s="521"/>
      <c r="Y106" s="521"/>
      <c r="Z106" s="1"/>
      <c r="AA106" s="14"/>
      <c r="AB106" s="132">
        <f>IFERROR(IF('Mon Entreprise'!K8&lt;Annexes!O17,IF(IFERROR(1-'Mon Entreprise'!M118/'Mon Entreprise'!I118,0)&gt;=IFERROR(1-'Mon Entreprise'!M118/('Mon Entreprise'!I98*2),0),1-'Mon Entreprise'!M118/'Mon Entreprise'!I118,1-'Mon Entreprise'!M118/('Mon Entreprise'!I98*2)),1-'Mon Entreprise'!M118/'Mon Entreprise'!I190),0)</f>
        <v>0</v>
      </c>
      <c r="AC106" s="1"/>
      <c r="AD106" s="1"/>
      <c r="AE106" s="13"/>
    </row>
    <row r="107" spans="2:32" ht="15.75" customHeight="1">
      <c r="T107" s="14"/>
      <c r="U107" s="521" t="s">
        <v>8</v>
      </c>
      <c r="V107" s="521"/>
      <c r="W107" s="521"/>
      <c r="X107" s="521"/>
      <c r="Y107" s="521"/>
      <c r="Z107" s="1"/>
      <c r="AA107" s="14"/>
      <c r="AB107" s="19" t="str">
        <f>IF((AND(Annexes!F5&gt;1,Annexes!F5&lt;=Annexes!H6)),"OUI","NON")</f>
        <v>NON</v>
      </c>
      <c r="AC107" s="1"/>
      <c r="AD107" s="1"/>
      <c r="AE107" s="13"/>
    </row>
    <row r="108" spans="2:32" ht="15" customHeight="1">
      <c r="C108" s="547" t="s">
        <v>101</v>
      </c>
      <c r="D108" s="547"/>
      <c r="E108" s="547"/>
      <c r="F108" s="547"/>
      <c r="G108" s="547"/>
      <c r="H108" s="547"/>
      <c r="I108" s="547"/>
      <c r="J108" s="547"/>
      <c r="K108" s="547"/>
      <c r="L108" s="547"/>
      <c r="M108" s="547"/>
      <c r="N108" s="547"/>
      <c r="O108" s="547"/>
      <c r="P108" s="40"/>
      <c r="T108" s="14"/>
      <c r="U108" s="490" t="s">
        <v>9</v>
      </c>
      <c r="V108" s="490"/>
      <c r="W108" s="490"/>
      <c r="X108" s="490"/>
      <c r="Y108" s="490"/>
      <c r="Z108" s="1"/>
      <c r="AA108" s="14"/>
      <c r="AB108" s="19" t="str">
        <f>IF((AND(Annexes!F7&gt;1,Annexes!F7&lt;=Annexes!H8)),"OUI","NON")</f>
        <v>NON</v>
      </c>
      <c r="AC108" s="1"/>
      <c r="AD108" s="1"/>
      <c r="AE108" s="13"/>
    </row>
    <row r="109" spans="2:32" ht="15" customHeight="1">
      <c r="C109" s="547"/>
      <c r="D109" s="547"/>
      <c r="E109" s="547"/>
      <c r="F109" s="547"/>
      <c r="G109" s="547"/>
      <c r="H109" s="547"/>
      <c r="I109" s="547"/>
      <c r="J109" s="547"/>
      <c r="K109" s="547"/>
      <c r="L109" s="547"/>
      <c r="M109" s="547"/>
      <c r="N109" s="547"/>
      <c r="O109" s="547"/>
      <c r="P109" s="40"/>
      <c r="Q109" s="40"/>
      <c r="T109" s="14"/>
      <c r="U109" s="490" t="s">
        <v>12</v>
      </c>
      <c r="V109" s="490"/>
      <c r="W109" s="490"/>
      <c r="X109" s="490"/>
      <c r="Y109" s="490"/>
      <c r="Z109" s="1"/>
      <c r="AA109" s="14"/>
      <c r="AB109" s="19" t="b">
        <f>Annexes!M11</f>
        <v>0</v>
      </c>
      <c r="AC109" s="1"/>
      <c r="AD109" s="1"/>
      <c r="AE109" s="13"/>
    </row>
    <row r="110" spans="2:32" ht="15.75" customHeight="1">
      <c r="C110" s="60"/>
      <c r="E110" s="547" t="str">
        <f>IF('Mon Entreprise'!K8&gt;Annexes!Q24,"",IF(OR(AB107="OUI",AND(AB108="OUI",AB106&gt;=Annexes!P5),AB109=TRUE),"",IF(AND(AB108="OUI",AB106&lt;Annexes!P5),"L'entreprise fait partie des entreprises mentionnées en annexe 2 du décret mais n'a pas eu une perte de CA d'au-Moins 80 %, entre le 15/03/2020 et le 15/05/2020","L'entreprise ne fait pas partie des entreprises ayant une fermeture administrative et ne fait pas partie des activités mentionnées aux annexes 1 et 2 du décret")))</f>
        <v>L'entreprise ne fait pas partie des entreprises ayant une fermeture administrative et ne fait pas partie des activités mentionnées aux annexes 1 et 2 du décret</v>
      </c>
      <c r="F110" s="547"/>
      <c r="G110" s="547"/>
      <c r="H110" s="547"/>
      <c r="I110" s="547"/>
      <c r="J110" s="547"/>
      <c r="K110" s="547"/>
      <c r="L110" s="547"/>
      <c r="M110" s="547"/>
      <c r="N110" s="547"/>
      <c r="O110" s="547"/>
      <c r="P110" s="40"/>
      <c r="Q110" s="40"/>
      <c r="T110" s="14"/>
      <c r="U110" s="506" t="s">
        <v>72</v>
      </c>
      <c r="V110" s="506"/>
      <c r="W110" s="506"/>
      <c r="X110" s="506"/>
      <c r="Y110" s="506"/>
      <c r="Z110" s="1"/>
      <c r="AA110" s="14"/>
      <c r="AB110" s="381" t="str">
        <f>IF('Mon Entreprise'!K8&lt;=Annexes!Q24,"Oui","Non")</f>
        <v>Oui</v>
      </c>
      <c r="AC110" s="1"/>
      <c r="AD110" s="1"/>
      <c r="AE110" s="13"/>
    </row>
    <row r="111" spans="2:32" ht="15" customHeight="1">
      <c r="C111" s="60"/>
      <c r="D111" s="131"/>
      <c r="E111" s="547"/>
      <c r="F111" s="547"/>
      <c r="G111" s="547"/>
      <c r="H111" s="547"/>
      <c r="I111" s="547"/>
      <c r="J111" s="547"/>
      <c r="K111" s="547"/>
      <c r="L111" s="547"/>
      <c r="M111" s="547"/>
      <c r="N111" s="547"/>
      <c r="O111" s="547"/>
      <c r="P111" s="40"/>
      <c r="Q111" s="40"/>
      <c r="T111" s="14"/>
      <c r="U111" s="506" t="s">
        <v>84</v>
      </c>
      <c r="V111" s="506"/>
      <c r="W111" s="506"/>
      <c r="X111" s="506"/>
      <c r="Y111" s="506"/>
      <c r="Z111" s="1"/>
      <c r="AA111" s="14"/>
      <c r="AB111" s="381">
        <f>IF('Mon Entreprise'!K8&gt;=Annexes!O20,IF(AB94&gt;=AB96,AB94,AB96),IF(AB94&gt;=AB95,AB94,AB95))</f>
        <v>0</v>
      </c>
      <c r="AC111" s="1"/>
      <c r="AD111" s="1"/>
      <c r="AE111" s="13"/>
    </row>
    <row r="112" spans="2:32" ht="15" customHeight="1">
      <c r="C112" s="60"/>
      <c r="D112" s="60" t="str">
        <f>IFERROR(IF('Mon Entreprise'!K8&gt;=Annexes!O20,IF(AB94&gt;=AB96,"- Le CA de référence est celui de Novembre 2019, soit une perte de "&amp;ROUND(AB94,0)&amp;" €"&amp;" ==&gt; "&amp;ROUND(AE94*100,0)&amp;" %","- Le CA de référence est celui de la création, soit une perte de "&amp;ROUND(AB96,0)&amp;" €"&amp;" ==&gt; "&amp;ROUND(AE96*100,0)&amp;" %"),IF(AB94&gt;=AB95,"- Le CA de référence est celui de Novembre 2019, soit une perte de "&amp;ROUND(AB94,0)&amp;" €"&amp;" ==&gt; "&amp;ROUND(AE94*100,0)&amp;" %","- Le CA de référence est celui de l'exercice 2019, soit une perte de "&amp;ROUND(AB95,0)&amp;" €"&amp;" ==&gt; "&amp;ROUND(AE95*100,0)&amp;" %")),"")</f>
        <v>- Le CA de référence est celui de Novembre 2019, soit une perte de 0 € ==&gt; 0 %</v>
      </c>
      <c r="E112" s="60"/>
      <c r="F112" s="60"/>
      <c r="G112" s="60"/>
      <c r="H112" s="60"/>
      <c r="I112" s="60"/>
      <c r="J112" s="60"/>
      <c r="K112" s="60"/>
      <c r="L112" s="60"/>
      <c r="M112" s="60"/>
      <c r="N112" s="60"/>
      <c r="O112" s="60"/>
      <c r="P112" s="40"/>
      <c r="Q112" s="40"/>
      <c r="R112" s="40"/>
      <c r="T112" s="14"/>
      <c r="U112" s="506" t="s">
        <v>85</v>
      </c>
      <c r="V112" s="506"/>
      <c r="W112" s="506"/>
      <c r="X112" s="506"/>
      <c r="Y112" s="506"/>
      <c r="Z112" s="1"/>
      <c r="AA112" s="14"/>
      <c r="AB112" s="19">
        <f>IF('Mon Entreprise'!K8&gt;=Annexes!O20,IF(AB94&gt;=AB96,AE94,AE96),IF(AB94&gt;=AB95,AE94,AE95))</f>
        <v>0</v>
      </c>
      <c r="AC112" s="1"/>
      <c r="AD112" s="1"/>
      <c r="AE112" s="13"/>
    </row>
    <row r="113" spans="2:31" ht="15" customHeight="1">
      <c r="C113" s="40"/>
      <c r="D113" s="60" t="str">
        <f>IF(OR(AB107="OUI",AB109=TRUE),"- Sans ticket modérateur",IF(AND(AB108="OUI",AB106&gt;=0.8),"- La Perte de référence est plafonnée à 80 %, soit "&amp;ROUND(AB115,0)&amp;" €","- Sans ticket modérateur"))</f>
        <v>- Sans ticket modérateur</v>
      </c>
      <c r="E113" s="40"/>
      <c r="F113" s="40"/>
      <c r="G113" s="40"/>
      <c r="H113" s="40"/>
      <c r="I113" s="40"/>
      <c r="J113" s="40"/>
      <c r="K113" s="40"/>
      <c r="M113" s="40"/>
      <c r="N113" s="40"/>
      <c r="O113" s="40"/>
      <c r="P113" s="40"/>
      <c r="Q113" s="40"/>
      <c r="R113" s="40"/>
      <c r="T113" s="14"/>
      <c r="U113" s="490" t="s">
        <v>74</v>
      </c>
      <c r="V113" s="490"/>
      <c r="W113" s="490"/>
      <c r="X113" s="490"/>
      <c r="Y113" s="490"/>
      <c r="Z113" s="1"/>
      <c r="AA113" s="14"/>
      <c r="AB113" s="55">
        <f>IF(OR(AB107="OUI",AB109=TRUE),1,IF(AND(AB108="OUI",AB106&gt;=0.8),0.8,1))</f>
        <v>1</v>
      </c>
      <c r="AC113" s="1"/>
      <c r="AD113" s="1"/>
      <c r="AE113" s="13"/>
    </row>
    <row r="114" spans="2:31" ht="15" customHeight="1" thickBot="1">
      <c r="Q114" s="40"/>
      <c r="R114" s="40"/>
      <c r="T114" s="14"/>
      <c r="U114" s="490" t="s">
        <v>80</v>
      </c>
      <c r="V114" s="490"/>
      <c r="W114" s="490"/>
      <c r="X114" s="490"/>
      <c r="Y114" s="490"/>
      <c r="Z114" s="1"/>
      <c r="AA114" s="14"/>
      <c r="AB114" s="385">
        <f>IF('Mon Entreprise'!K8&gt;=Annexes!O20,IF(AB94&gt;=AB96,Y94,Y96),IF(AB94&gt;=AB95,Y94,Y95))</f>
        <v>0</v>
      </c>
      <c r="AC114" s="1"/>
      <c r="AD114" s="1"/>
      <c r="AE114" s="13"/>
    </row>
    <row r="115" spans="2:31" ht="15" customHeight="1">
      <c r="D115" s="508" t="str">
        <f>IFERROR(IF('Mon Entreprise'!K8&gt;Annexes!Q24,"Vous avez débuté votre activité après le 30 Septembre 2020, vous ne pouvez donc pas bénéficier de cette aide",IF(AB109=TRUE,IF(AB115&gt;Annexes!O6,"Dans votre cas, l'aide est Plafonnée, à "&amp;Annexes!O6&amp;" € pour le mois de Novembre","Vous pouvez bénéficier, au titre de cette aide, d'un montant de "&amp;ROUND(AB115,0)&amp;" € pour le mois de novembre"),IF(AB112&gt;=0.5,IF(OR(AB107="OUI",AND(AB108="OUI",AB106&gt;=Annexes!P5)),IF(AB115&gt;Annexes!O6,"Dans votre cas, l'aide est Plafonnée, à "&amp;Annexes!O6&amp;" € pour le mois de Novembre","Vous pouvez bénéficier, au titre de cette aide, d'un montant de "&amp;ROUND(AB115,0)&amp;" € pour le mois de novembre"),IF(AND(AB108="OUI",AB106&lt;Annexes!P5),"L'entreprise fait partie des entreprises mentionnées en annexe 2 du décret, mais n'a pas eu une perte de CA d'au-Moins 80 % entre le 15/03/2020 et le 15/05/2020","L'entreprise ne fait pas partie des entreprises ayant une fermeture administrative et ne fait pas partie des activités mentionnées aux annexes 1 et 2 du décret")),"L'entreprise n'a pas une perte d'au moins 50 % en novembre 2020"))),"Vous n'avez pas indiqué de chiffre d'affaires de référence")</f>
        <v>L'entreprise n'a pas une perte d'au moins 50 % en novembre 2020</v>
      </c>
      <c r="E115" s="509"/>
      <c r="F115" s="509"/>
      <c r="G115" s="509"/>
      <c r="H115" s="509"/>
      <c r="I115" s="509"/>
      <c r="J115" s="509"/>
      <c r="K115" s="509"/>
      <c r="L115" s="509"/>
      <c r="M115" s="509"/>
      <c r="N115" s="509"/>
      <c r="O115" s="510"/>
      <c r="Q115" s="40"/>
      <c r="R115" s="40"/>
      <c r="T115" s="14"/>
      <c r="U115" s="490" t="s">
        <v>104</v>
      </c>
      <c r="V115" s="490"/>
      <c r="W115" s="490"/>
      <c r="X115" s="490"/>
      <c r="Y115" s="490"/>
      <c r="Z115" s="1"/>
      <c r="AA115" s="14"/>
      <c r="AB115" s="381">
        <f>IF(AB113=1,AB111,IF(AB111*AB113&gt;1500,IF(AB111&gt;1500,AB111*AB113,"Impossible"),IF(AB111&lt;1500,AB111,1500)))</f>
        <v>0</v>
      </c>
      <c r="AC115" s="1"/>
      <c r="AD115" s="1"/>
      <c r="AE115" s="13"/>
    </row>
    <row r="116" spans="2:31" ht="15" customHeight="1">
      <c r="D116" s="511"/>
      <c r="E116" s="512"/>
      <c r="F116" s="512"/>
      <c r="G116" s="512"/>
      <c r="H116" s="512"/>
      <c r="I116" s="512"/>
      <c r="J116" s="512"/>
      <c r="K116" s="512"/>
      <c r="L116" s="512"/>
      <c r="M116" s="512"/>
      <c r="N116" s="512"/>
      <c r="O116" s="513"/>
      <c r="Q116" s="40"/>
      <c r="R116" s="40"/>
      <c r="T116" s="14"/>
      <c r="U116" s="381"/>
      <c r="V116" s="381"/>
      <c r="W116" s="381"/>
      <c r="X116" s="381"/>
      <c r="Y116" s="381"/>
      <c r="Z116" s="1"/>
      <c r="AA116" s="1"/>
      <c r="AB116" s="381"/>
      <c r="AC116" s="1"/>
      <c r="AD116" s="1"/>
      <c r="AE116" s="13"/>
    </row>
    <row r="117" spans="2:31" ht="15" customHeight="1">
      <c r="D117" s="511"/>
      <c r="E117" s="512"/>
      <c r="F117" s="512"/>
      <c r="G117" s="512"/>
      <c r="H117" s="512"/>
      <c r="I117" s="512"/>
      <c r="J117" s="512"/>
      <c r="K117" s="512"/>
      <c r="L117" s="512"/>
      <c r="M117" s="512"/>
      <c r="N117" s="512"/>
      <c r="O117" s="513"/>
      <c r="Q117" s="40"/>
      <c r="R117" s="40"/>
      <c r="T117" s="14"/>
      <c r="U117" s="490" t="s">
        <v>82</v>
      </c>
      <c r="V117" s="490"/>
      <c r="W117" s="490"/>
      <c r="X117" s="490"/>
      <c r="Y117" s="490"/>
      <c r="Z117" s="1"/>
      <c r="AA117" s="14"/>
      <c r="AB117" s="381">
        <f>IF(AB99="Non",0,IF(AB101&gt;=0.5,IF(AB100&gt;Annexes!O5,Annexes!O5,ROUND(AB100,0)),0))</f>
        <v>0</v>
      </c>
      <c r="AC117" s="1"/>
      <c r="AD117" s="1"/>
      <c r="AE117" s="13"/>
    </row>
    <row r="118" spans="2:31" ht="15" customHeight="1" thickBot="1">
      <c r="D118" s="514"/>
      <c r="E118" s="515"/>
      <c r="F118" s="515"/>
      <c r="G118" s="515"/>
      <c r="H118" s="515"/>
      <c r="I118" s="515"/>
      <c r="J118" s="515"/>
      <c r="K118" s="515"/>
      <c r="L118" s="515"/>
      <c r="M118" s="515"/>
      <c r="N118" s="515"/>
      <c r="O118" s="516"/>
      <c r="R118" s="40"/>
      <c r="T118" s="14"/>
      <c r="U118" s="490" t="s">
        <v>81</v>
      </c>
      <c r="V118" s="490"/>
      <c r="W118" s="490"/>
      <c r="X118" s="490"/>
      <c r="Y118" s="490"/>
      <c r="Z118" s="1"/>
      <c r="AA118" s="14"/>
      <c r="AB118" s="381">
        <f>IFERROR(IF('Mon Entreprise'!K8&gt;Annexes!Q24,0,IF(AB109=TRUE,IF(AB115&gt;Annexes!O6,Annexes!O6,ROUND(AB115,0)),IF(AB112&gt;=0.5,IF(OR(AB107="OUI",AND(AB108="OUI",AB106&gt;=Annexes!P5),AB109=TRUE),IF(AB115&gt;Annexes!O6,Annexes!O6,ROUND(AB115,0)),IF(AND(AB108="OUI",AB106&lt;Annexes!P5),0,0)),0))),0)</f>
        <v>0</v>
      </c>
      <c r="AC118" s="1"/>
      <c r="AD118" s="1"/>
      <c r="AE118" s="13"/>
    </row>
    <row r="119" spans="2:31" ht="15" customHeight="1">
      <c r="D119" s="530" t="str">
        <f>IF(AND(Annexes!F7&gt;=89,Annexes!F7&lt;=92),"Les entreprises dont l'activité principale est mentionné au 86 à 89 de l'annexe 2 (S1 bis) peut bénéficier de cette aide rétro-activement, au titre de l'Art 3-20 du décret 2021-129."&amp;"  Le cas échéant, l’aide perçue au titre de l’Art. 3-14, si elle a déjà été demandée, vient en diminution de la présente aide complémentaire.",IF(Annexes!F7=109,"Les entreprises dont l'activité principale est mentionné au 106 de l'annexe 2 (S1 bis) peut bénéficier de cette aide rétro-activement, au titre de l'Art 3-21 du décret 2021-192."&amp;"  Le cas échéant, l’aide perçue au titre de l’Art. 3-14, si elle a déjà été demandée, vient en diminution de la présente aide complémentaire.",""))</f>
        <v/>
      </c>
      <c r="E119" s="530"/>
      <c r="F119" s="530"/>
      <c r="G119" s="530"/>
      <c r="H119" s="530"/>
      <c r="I119" s="530"/>
      <c r="J119" s="530"/>
      <c r="K119" s="530"/>
      <c r="L119" s="530"/>
      <c r="M119" s="530"/>
      <c r="N119" s="530"/>
      <c r="O119" s="530"/>
      <c r="R119" s="40"/>
      <c r="T119" s="14"/>
      <c r="U119" s="381"/>
      <c r="V119" s="381"/>
      <c r="W119" s="381"/>
      <c r="X119" s="381"/>
      <c r="Y119" s="381"/>
      <c r="Z119" s="1"/>
      <c r="AA119" s="1"/>
      <c r="AB119" s="381"/>
      <c r="AC119" s="1"/>
      <c r="AD119" s="1"/>
      <c r="AE119" s="13"/>
    </row>
    <row r="120" spans="2:31" ht="15" customHeight="1">
      <c r="D120" s="531"/>
      <c r="E120" s="531"/>
      <c r="F120" s="531"/>
      <c r="G120" s="531"/>
      <c r="H120" s="531"/>
      <c r="I120" s="531"/>
      <c r="J120" s="531"/>
      <c r="K120" s="531"/>
      <c r="L120" s="531"/>
      <c r="M120" s="531"/>
      <c r="N120" s="531"/>
      <c r="O120" s="531"/>
      <c r="R120" s="40"/>
      <c r="T120" s="14"/>
      <c r="U120" s="381"/>
      <c r="V120" s="381"/>
      <c r="W120" s="381"/>
      <c r="X120" s="381"/>
      <c r="Y120" s="381"/>
      <c r="Z120" s="1"/>
      <c r="AA120" s="1"/>
      <c r="AB120" s="381"/>
      <c r="AC120" s="1"/>
      <c r="AD120" s="1"/>
      <c r="AE120" s="13"/>
    </row>
    <row r="121" spans="2:31">
      <c r="R121" s="40"/>
      <c r="T121" s="15"/>
      <c r="U121" s="10"/>
      <c r="V121" s="10"/>
      <c r="W121" s="10"/>
      <c r="X121" s="10"/>
      <c r="Y121" s="10"/>
      <c r="Z121" s="10"/>
      <c r="AA121" s="10"/>
      <c r="AB121" s="10"/>
      <c r="AC121" s="10"/>
      <c r="AD121" s="10"/>
      <c r="AE121" s="4"/>
    </row>
    <row r="122" spans="2:31" ht="15" customHeight="1" thickBot="1">
      <c r="B122" s="220"/>
      <c r="C122" s="488" t="s">
        <v>95</v>
      </c>
      <c r="D122" s="488"/>
      <c r="E122" s="488"/>
      <c r="F122" s="488"/>
      <c r="G122" s="488"/>
      <c r="H122" s="488"/>
      <c r="I122" s="221"/>
      <c r="J122" s="221"/>
      <c r="K122" s="221"/>
      <c r="L122" s="221"/>
      <c r="M122" s="221"/>
      <c r="N122" s="221"/>
      <c r="O122" s="221"/>
      <c r="T122" s="16"/>
      <c r="U122" s="11"/>
      <c r="V122" s="11"/>
      <c r="W122" s="11"/>
      <c r="X122" s="11"/>
      <c r="Y122" s="11"/>
      <c r="Z122" s="11"/>
      <c r="AA122" s="11"/>
      <c r="AB122" s="11"/>
      <c r="AC122" s="11"/>
      <c r="AD122" s="11"/>
      <c r="AE122" s="12"/>
    </row>
    <row r="123" spans="2:31" ht="15" customHeight="1">
      <c r="B123" s="63"/>
      <c r="C123" s="24"/>
      <c r="D123" s="24"/>
      <c r="E123" s="24"/>
      <c r="F123" s="24"/>
      <c r="G123" s="24"/>
      <c r="H123" s="24"/>
      <c r="I123" s="1"/>
      <c r="J123" s="1"/>
      <c r="K123" s="1"/>
      <c r="L123" s="1"/>
      <c r="M123" s="1"/>
      <c r="N123" s="1"/>
      <c r="O123" s="1"/>
      <c r="T123" s="14"/>
      <c r="U123" s="1"/>
      <c r="V123" s="1"/>
      <c r="W123" s="1"/>
      <c r="X123" s="1"/>
      <c r="Y123" s="1"/>
      <c r="Z123" s="1"/>
      <c r="AA123" s="1"/>
      <c r="AB123" s="1"/>
      <c r="AC123" s="1"/>
      <c r="AD123" s="1"/>
      <c r="AE123" s="13"/>
    </row>
    <row r="124" spans="2:31" ht="15" customHeight="1">
      <c r="B124" s="103"/>
      <c r="C124" s="489" t="s">
        <v>115</v>
      </c>
      <c r="D124" s="489"/>
      <c r="E124" s="489"/>
      <c r="F124" s="489"/>
      <c r="G124" s="489"/>
      <c r="H124" s="489"/>
      <c r="I124" s="489"/>
      <c r="J124" s="489"/>
      <c r="K124" s="489"/>
      <c r="L124" s="489"/>
      <c r="M124" s="489"/>
      <c r="N124" s="489"/>
      <c r="O124" s="489"/>
      <c r="P124" s="1"/>
      <c r="T124" s="25"/>
      <c r="U124" s="490" t="s">
        <v>20</v>
      </c>
      <c r="V124" s="490"/>
      <c r="W124" s="490"/>
      <c r="X124" s="1"/>
      <c r="Y124" s="390" t="s">
        <v>6</v>
      </c>
      <c r="Z124" s="390"/>
      <c r="AA124" s="390"/>
      <c r="AB124" s="390" t="s">
        <v>23</v>
      </c>
      <c r="AC124" s="390"/>
      <c r="AD124" s="390"/>
      <c r="AE124" s="26" t="s">
        <v>24</v>
      </c>
    </row>
    <row r="125" spans="2:31" ht="15.75" customHeight="1">
      <c r="B125" s="103"/>
      <c r="C125" s="387"/>
      <c r="D125" s="60" t="s">
        <v>26</v>
      </c>
      <c r="E125" s="387"/>
      <c r="F125" s="387"/>
      <c r="G125" s="387"/>
      <c r="H125" s="387"/>
      <c r="I125" s="387"/>
      <c r="J125" s="387"/>
      <c r="K125" s="387"/>
      <c r="L125" s="387"/>
      <c r="M125" s="387"/>
      <c r="N125" s="387"/>
      <c r="O125" s="387"/>
      <c r="P125" s="1"/>
      <c r="T125" s="25"/>
      <c r="U125" s="390"/>
      <c r="V125" s="390"/>
      <c r="W125" s="390"/>
      <c r="X125" s="1"/>
      <c r="Y125" s="390"/>
      <c r="Z125" s="390"/>
      <c r="AA125" s="390"/>
      <c r="AB125" s="390"/>
      <c r="AC125" s="390"/>
      <c r="AD125" s="390"/>
      <c r="AE125" s="26"/>
    </row>
    <row r="126" spans="2:31" ht="15.75" hidden="1" customHeight="1" thickBot="1">
      <c r="B126" s="103"/>
      <c r="C126" s="387"/>
      <c r="D126" s="60"/>
      <c r="E126" s="387"/>
      <c r="F126" s="387"/>
      <c r="G126" s="387"/>
      <c r="H126" s="387"/>
      <c r="I126" s="387"/>
      <c r="J126" s="387"/>
      <c r="K126" s="387"/>
      <c r="L126" s="387"/>
      <c r="M126" s="387"/>
      <c r="N126" s="387"/>
      <c r="O126" s="387"/>
      <c r="P126" s="1"/>
      <c r="T126" s="491" t="s">
        <v>99</v>
      </c>
      <c r="U126" s="490"/>
      <c r="V126" s="490"/>
      <c r="W126" s="490"/>
      <c r="X126" s="1"/>
      <c r="Y126" s="7">
        <f>'Mon Entreprise'!I116</f>
        <v>0</v>
      </c>
      <c r="Z126" s="133"/>
      <c r="AA126" s="21"/>
      <c r="AB126" s="7">
        <f>IF('Mon Entreprise'!I116-'Mon Entreprise'!M116&lt;0,0,'Mon Entreprise'!I116-'Mon Entreprise'!M116)</f>
        <v>0</v>
      </c>
      <c r="AC126" s="13"/>
      <c r="AD126" s="1"/>
      <c r="AE126" s="27">
        <f>IFERROR(1-'Mon Entreprise'!M116/'Mon Entreprise'!I116,0)</f>
        <v>0</v>
      </c>
    </row>
    <row r="127" spans="2:31" ht="15.75" hidden="1" customHeight="1">
      <c r="B127" s="103"/>
      <c r="C127" s="387"/>
      <c r="D127" s="492" t="str">
        <f>IFERROR(IF(AND(AB160=0,AB161=0,AB162=0),"Vous ne pouvez pas bénéficier du fonds de solidarité pour le mois de Décembre 2020",IF(AND(AB162&gt;AB161,AB162&gt;AB160),"Votre entreprise peut bénéficier d'une aide de "&amp;AB162&amp;" €, au titre d'une fermeture Administrative, ou d'une perte d'au moins 50 % ou 70 % du CA pour les activités mentionnées en annexe 1, ou d'une perte d'au moins 70 % du CA pour les activités mentionnées en annexe 2 ou 3",IF(AB161&gt;AB160,"Votre entreprise peut bénéficier d'une aide de "&amp;AB161&amp;" €, au titre d'une fermeture Administrative, ou d'une perte d'au moins 50 % du CA pour les activités mentionnées en annexe 1, ou en annexe 2 ou 3 ayant une perte de CA d'au moins 80 % entre le 15/03/2020 et le 15/05/2020 ou au moins de Novembre 2020","Votre entreprise peut bénéficier d'une aide de "&amp;AB160&amp;" €, au titre d'une perte d'au-moins 50 % de votre CA en Décembre 2020"))),"Vous n'avez pas indiqué de chiffre d'affaires de référence")</f>
        <v>Vous ne pouvez pas bénéficier du fonds de solidarité pour le mois de Décembre 2020</v>
      </c>
      <c r="E127" s="493"/>
      <c r="F127" s="493"/>
      <c r="G127" s="493"/>
      <c r="H127" s="493"/>
      <c r="I127" s="493"/>
      <c r="J127" s="493"/>
      <c r="K127" s="493"/>
      <c r="L127" s="493"/>
      <c r="M127" s="493"/>
      <c r="N127" s="493"/>
      <c r="O127" s="494"/>
      <c r="P127" s="1"/>
      <c r="T127" s="491" t="s">
        <v>25</v>
      </c>
      <c r="U127" s="490"/>
      <c r="V127" s="490"/>
      <c r="W127" s="490"/>
      <c r="X127" s="1"/>
      <c r="Y127" s="7">
        <f>'Mon Entreprise'!I98</f>
        <v>0</v>
      </c>
      <c r="Z127" s="133"/>
      <c r="AA127" s="21"/>
      <c r="AB127" s="7">
        <f>IF('Mon Entreprise'!I98-'Mon Entreprise'!M116&lt;0,0,'Mon Entreprise'!I98-'Mon Entreprise'!M116)</f>
        <v>0</v>
      </c>
      <c r="AC127" s="36"/>
      <c r="AD127" s="1"/>
      <c r="AE127" s="27">
        <f>IFERROR(1-'Mon Entreprise'!M116/'Mon Entreprise'!I98,0)</f>
        <v>0</v>
      </c>
    </row>
    <row r="128" spans="2:31" ht="15.75" hidden="1" customHeight="1">
      <c r="B128" s="103"/>
      <c r="C128" s="387"/>
      <c r="D128" s="495"/>
      <c r="E128" s="496"/>
      <c r="F128" s="496"/>
      <c r="G128" s="496"/>
      <c r="H128" s="496"/>
      <c r="I128" s="496"/>
      <c r="J128" s="496"/>
      <c r="K128" s="496"/>
      <c r="L128" s="496"/>
      <c r="M128" s="496"/>
      <c r="N128" s="496"/>
      <c r="O128" s="497"/>
      <c r="P128" s="1"/>
      <c r="T128" s="501" t="s">
        <v>22</v>
      </c>
      <c r="U128" s="502"/>
      <c r="V128" s="502"/>
      <c r="W128" s="502"/>
      <c r="X128" s="139"/>
      <c r="Y128" s="140" t="str">
        <f>IF('Mon Entreprise'!I169="","NC",'Mon Entreprise'!I169)</f>
        <v>NC</v>
      </c>
      <c r="Z128" s="191"/>
      <c r="AA128" s="192"/>
      <c r="AB128" s="143" t="str">
        <f>IFERROR(IF('Mon Entreprise'!I169-'Mon Entreprise'!M116&lt;0,0,'Mon Entreprise'!I169-'Mon Entreprise'!M116),"NC")</f>
        <v>NC</v>
      </c>
      <c r="AC128" s="193"/>
      <c r="AD128" s="139"/>
      <c r="AE128" s="146" t="str">
        <f>IFERROR(1-'Mon Entreprise'!M116/'Mon Entreprise'!I169,"NC")</f>
        <v>NC</v>
      </c>
    </row>
    <row r="129" spans="2:31" ht="15.75" hidden="1" customHeight="1">
      <c r="B129" s="103"/>
      <c r="C129" s="387"/>
      <c r="D129" s="495"/>
      <c r="E129" s="496"/>
      <c r="F129" s="496"/>
      <c r="G129" s="496"/>
      <c r="H129" s="496"/>
      <c r="I129" s="496"/>
      <c r="J129" s="496"/>
      <c r="K129" s="496"/>
      <c r="L129" s="496"/>
      <c r="M129" s="496"/>
      <c r="N129" s="496"/>
      <c r="O129" s="497"/>
      <c r="P129" s="1"/>
      <c r="T129" s="14"/>
      <c r="U129" s="1"/>
      <c r="V129" s="1"/>
      <c r="W129" s="1"/>
      <c r="X129" s="1"/>
      <c r="Y129" s="1"/>
      <c r="Z129" s="1"/>
      <c r="AA129" s="1"/>
      <c r="AB129" s="1"/>
      <c r="AC129" s="1"/>
      <c r="AD129" s="1"/>
      <c r="AE129" s="13"/>
    </row>
    <row r="130" spans="2:31" ht="15.75" hidden="1" customHeight="1">
      <c r="B130" s="103"/>
      <c r="C130" s="387"/>
      <c r="D130" s="495"/>
      <c r="E130" s="496"/>
      <c r="F130" s="496"/>
      <c r="G130" s="496"/>
      <c r="H130" s="496"/>
      <c r="I130" s="496"/>
      <c r="J130" s="496"/>
      <c r="K130" s="496"/>
      <c r="L130" s="496"/>
      <c r="M130" s="496"/>
      <c r="N130" s="496"/>
      <c r="O130" s="497"/>
      <c r="P130" s="1"/>
      <c r="T130" s="14"/>
      <c r="AC130" s="1"/>
      <c r="AD130" s="1"/>
      <c r="AE130" s="13"/>
    </row>
    <row r="131" spans="2:31" ht="15.75" hidden="1" customHeight="1" thickBot="1">
      <c r="B131" s="103"/>
      <c r="C131" s="387"/>
      <c r="D131" s="498"/>
      <c r="E131" s="499"/>
      <c r="F131" s="499"/>
      <c r="G131" s="499"/>
      <c r="H131" s="499"/>
      <c r="I131" s="499"/>
      <c r="J131" s="499"/>
      <c r="K131" s="499"/>
      <c r="L131" s="499"/>
      <c r="M131" s="499"/>
      <c r="N131" s="499"/>
      <c r="O131" s="500"/>
      <c r="P131" s="1"/>
      <c r="T131" s="14"/>
      <c r="AC131" s="1"/>
      <c r="AD131" s="1"/>
      <c r="AE131" s="13"/>
    </row>
    <row r="132" spans="2:31" ht="16.5" hidden="1" customHeight="1">
      <c r="B132" s="103"/>
      <c r="C132" s="387"/>
      <c r="D132" s="60"/>
      <c r="E132" s="387"/>
      <c r="F132" s="387"/>
      <c r="G132" s="387"/>
      <c r="H132" s="387"/>
      <c r="I132" s="387"/>
      <c r="J132" s="387"/>
      <c r="K132" s="387"/>
      <c r="L132" s="387"/>
      <c r="M132" s="387"/>
      <c r="N132" s="387"/>
      <c r="O132" s="387"/>
      <c r="P132" s="1"/>
      <c r="T132" s="14"/>
      <c r="AC132" s="1"/>
      <c r="AD132" s="1"/>
      <c r="AE132" s="13"/>
    </row>
    <row r="133" spans="2:31" ht="15.75">
      <c r="B133" s="103"/>
      <c r="C133" s="78"/>
      <c r="D133" s="78"/>
      <c r="E133" s="78"/>
      <c r="F133" s="78"/>
      <c r="G133" s="78"/>
      <c r="H133" s="78"/>
      <c r="I133" s="78"/>
      <c r="J133" s="78"/>
      <c r="K133" s="78"/>
      <c r="L133" s="78"/>
      <c r="M133" s="78"/>
      <c r="N133" s="78"/>
      <c r="O133" s="78"/>
      <c r="P133" s="1"/>
      <c r="T133" s="14"/>
      <c r="U133" s="1"/>
      <c r="V133" s="1"/>
      <c r="W133" s="1"/>
      <c r="X133" s="1"/>
      <c r="Y133" s="1"/>
      <c r="Z133" s="1"/>
      <c r="AA133" s="1"/>
      <c r="AB133" s="1"/>
      <c r="AC133" s="1"/>
      <c r="AD133" s="1"/>
      <c r="AE133" s="13"/>
    </row>
    <row r="134" spans="2:31" ht="15.75">
      <c r="B134" s="103"/>
      <c r="C134" s="387"/>
      <c r="D134" s="60"/>
      <c r="E134" s="387"/>
      <c r="F134" s="387"/>
      <c r="G134" s="387"/>
      <c r="H134" s="387"/>
      <c r="I134" s="387"/>
      <c r="J134" s="387"/>
      <c r="K134" s="387"/>
      <c r="L134" s="387"/>
      <c r="M134" s="387"/>
      <c r="N134" s="387"/>
      <c r="O134" s="387"/>
      <c r="P134" s="1"/>
      <c r="T134" s="14"/>
      <c r="U134" s="506" t="s">
        <v>72</v>
      </c>
      <c r="V134" s="506"/>
      <c r="W134" s="506"/>
      <c r="X134" s="506"/>
      <c r="Y134" s="506"/>
      <c r="Z134" s="1"/>
      <c r="AA134" s="14"/>
      <c r="AB134" s="385" t="str">
        <f>IF('Mon Entreprise'!K8&lt;=Annexes!Q24,"Oui","Non")</f>
        <v>Oui</v>
      </c>
      <c r="AC134" s="1"/>
      <c r="AD134" s="1"/>
      <c r="AE134" s="13"/>
    </row>
    <row r="135" spans="2:31" ht="15.75">
      <c r="B135" s="103"/>
      <c r="C135" s="387" t="s">
        <v>100</v>
      </c>
      <c r="D135" s="60"/>
      <c r="E135" s="387"/>
      <c r="F135" s="387"/>
      <c r="G135" s="387"/>
      <c r="H135" s="387"/>
      <c r="I135" s="387"/>
      <c r="J135" s="387"/>
      <c r="K135" s="387"/>
      <c r="L135" s="387"/>
      <c r="M135" s="387"/>
      <c r="N135" s="387"/>
      <c r="O135" s="387"/>
      <c r="P135" s="1"/>
      <c r="T135" s="14"/>
      <c r="U135" s="386"/>
      <c r="V135" s="506" t="s">
        <v>393</v>
      </c>
      <c r="W135" s="506"/>
      <c r="X135" s="506"/>
      <c r="Y135" s="506"/>
      <c r="Z135" s="1"/>
      <c r="AA135" s="14"/>
      <c r="AB135" s="385">
        <f>IF('Mon Entreprise'!K8&gt;=Annexes!O20,IF(Y126&gt;=Y128,Y126,Y128),IF(Y126&gt;=Y127,Y126,Y127))</f>
        <v>0</v>
      </c>
      <c r="AC135" s="1"/>
      <c r="AD135" s="1"/>
      <c r="AE135" s="13"/>
    </row>
    <row r="136" spans="2:31" ht="15.75">
      <c r="B136" s="168"/>
      <c r="C136" s="387"/>
      <c r="D136" s="60" t="str">
        <f>IFERROR(IF('Mon Entreprise'!K8&gt;=Annexes!O20,IF(AB126&gt;=AB128,"Le CA de référence est celui de Décembre 2019, soit une perte de "&amp;ROUND(AB126,0)&amp;" €"&amp;" ==&gt; "&amp;ROUND(AE126*100,0)&amp;" %","Le CA de référence est celui de la création, soit une perte de "&amp;ROUND(AB128,0)&amp;" €"&amp;" ==&gt; "&amp;ROUND(AE128*100,0)&amp;" %"),IF(AB126&gt;=AB127,"Le CA de référence est celui de Décembre 2019, soit une perte de "&amp;ROUND(AB126,0)&amp;" €"&amp;" ==&gt; "&amp;ROUND(AE126*100,0)&amp;" %","Le CA de référence est celui de de l'exercice 2019, soit une perte de "&amp;ROUND(AB127,0)&amp;" €"&amp;" ==&gt; "&amp;ROUND(AE127*100,0)&amp;" %")),"")</f>
        <v>Le CA de référence est celui de Décembre 2019, soit une perte de 0 € ==&gt; 0 %</v>
      </c>
      <c r="E136" s="387"/>
      <c r="F136" s="387"/>
      <c r="G136" s="387"/>
      <c r="H136" s="387"/>
      <c r="I136" s="387"/>
      <c r="J136" s="387"/>
      <c r="K136" s="387"/>
      <c r="L136" s="387"/>
      <c r="M136" s="387"/>
      <c r="N136" s="387"/>
      <c r="O136" s="387"/>
      <c r="P136" s="1"/>
      <c r="T136" s="14"/>
      <c r="U136" s="506" t="s">
        <v>84</v>
      </c>
      <c r="V136" s="506"/>
      <c r="W136" s="506"/>
      <c r="X136" s="506"/>
      <c r="Y136" s="506"/>
      <c r="Z136" s="1"/>
      <c r="AA136" s="14"/>
      <c r="AB136" s="381">
        <f>IF('Mon Entreprise'!K8&gt;=Annexes!O20,IF(AB126&gt;=AB128,AB126,AB128),IF(AB126&gt;=AB127,AB126,AB127))</f>
        <v>0</v>
      </c>
      <c r="AC136" s="1"/>
      <c r="AD136" s="1"/>
      <c r="AE136" s="13"/>
    </row>
    <row r="137" spans="2:31" ht="16.5" thickBot="1">
      <c r="B137" s="103"/>
      <c r="C137" s="387"/>
      <c r="D137" s="60"/>
      <c r="E137" s="387"/>
      <c r="F137" s="387"/>
      <c r="G137" s="387"/>
      <c r="H137" s="387"/>
      <c r="I137" s="387"/>
      <c r="J137" s="387"/>
      <c r="K137" s="387"/>
      <c r="L137" s="387"/>
      <c r="M137" s="387"/>
      <c r="N137" s="387"/>
      <c r="O137" s="387"/>
      <c r="P137" s="1"/>
      <c r="T137" s="14"/>
      <c r="U137" s="506" t="s">
        <v>85</v>
      </c>
      <c r="V137" s="506"/>
      <c r="W137" s="506"/>
      <c r="X137" s="506"/>
      <c r="Y137" s="506"/>
      <c r="Z137" s="1"/>
      <c r="AA137" s="14"/>
      <c r="AB137" s="19">
        <f>IF('Mon Entreprise'!K8&gt;=Annexes!O20,IF(AB126&gt;=AB128,AE126,AE128),IF(AB126&gt;=AB127,AE126,AE127))</f>
        <v>0</v>
      </c>
      <c r="AC137" s="1"/>
      <c r="AD137" s="1"/>
      <c r="AE137" s="13"/>
    </row>
    <row r="138" spans="2:31" ht="15.75">
      <c r="B138" s="168"/>
      <c r="C138" s="387"/>
      <c r="D138" s="508" t="str">
        <f>IFERROR(IF(AB134="Non","Vous avez débuté votre activité après le 30 Septembre 2020, vous ne pouvez donc pas bénéficier de cette aide",IF(AB137&gt;=0.5,IF(AB136&gt;Annexes!O5,"Dans votre cas, l'aide est Plafonnée, à "&amp;Annexes!O5&amp;" € pour le mois de Décembre","Vous pouvez bénéficier, au titre de cette aide, d'un montant de "&amp;ROUND(AB136,0)&amp;" € pour le mois de Décembre"),"L'entreprise n'a pas une perte d'au moins 50 % en Décembre 2020")),"Vous n'avez pas indiqué de chiffre d'affaires de référence")</f>
        <v>L'entreprise n'a pas une perte d'au moins 50 % en Décembre 2020</v>
      </c>
      <c r="E138" s="509"/>
      <c r="F138" s="509"/>
      <c r="G138" s="509"/>
      <c r="H138" s="509"/>
      <c r="I138" s="509"/>
      <c r="J138" s="509"/>
      <c r="K138" s="509"/>
      <c r="L138" s="509"/>
      <c r="M138" s="509"/>
      <c r="N138" s="509"/>
      <c r="O138" s="510"/>
      <c r="P138" s="1"/>
      <c r="T138" s="14"/>
      <c r="U138" s="1"/>
      <c r="V138" s="1"/>
      <c r="W138" s="1"/>
      <c r="X138" s="1"/>
      <c r="Y138" s="1"/>
      <c r="Z138" s="1"/>
      <c r="AA138" s="1"/>
      <c r="AB138" s="1"/>
      <c r="AC138" s="1"/>
      <c r="AD138" s="1"/>
      <c r="AE138" s="13"/>
    </row>
    <row r="139" spans="2:31" ht="15.75" customHeight="1">
      <c r="B139" s="168"/>
      <c r="C139" s="387"/>
      <c r="D139" s="511"/>
      <c r="E139" s="512"/>
      <c r="F139" s="512"/>
      <c r="G139" s="512"/>
      <c r="H139" s="512"/>
      <c r="I139" s="512"/>
      <c r="J139" s="512"/>
      <c r="K139" s="512"/>
      <c r="L139" s="512"/>
      <c r="M139" s="512"/>
      <c r="N139" s="512"/>
      <c r="O139" s="513"/>
      <c r="P139" s="1"/>
      <c r="T139" s="14"/>
      <c r="U139" s="1"/>
      <c r="V139" s="1"/>
      <c r="W139" s="1"/>
      <c r="X139" s="1"/>
      <c r="Y139" s="1"/>
      <c r="Z139" s="1"/>
      <c r="AA139" s="1"/>
      <c r="AB139" s="1"/>
      <c r="AC139" s="1"/>
      <c r="AD139" s="1"/>
      <c r="AE139" s="13"/>
    </row>
    <row r="140" spans="2:31" ht="15.75" customHeight="1">
      <c r="B140" s="103"/>
      <c r="C140" s="387"/>
      <c r="D140" s="511"/>
      <c r="E140" s="512"/>
      <c r="F140" s="512"/>
      <c r="G140" s="512"/>
      <c r="H140" s="512"/>
      <c r="I140" s="512"/>
      <c r="J140" s="512"/>
      <c r="K140" s="512"/>
      <c r="L140" s="512"/>
      <c r="M140" s="512"/>
      <c r="N140" s="512"/>
      <c r="O140" s="513"/>
      <c r="P140" s="1"/>
      <c r="T140" s="14"/>
      <c r="U140" s="1"/>
      <c r="V140" s="1"/>
      <c r="W140" s="1"/>
      <c r="X140" s="1"/>
      <c r="Y140" s="1"/>
      <c r="Z140" s="1"/>
      <c r="AA140" s="1"/>
      <c r="AB140" s="1"/>
      <c r="AC140" s="1"/>
      <c r="AD140" s="1"/>
      <c r="AE140" s="13"/>
    </row>
    <row r="141" spans="2:31" ht="15.75" customHeight="1" thickBot="1">
      <c r="B141" s="103"/>
      <c r="C141" s="387"/>
      <c r="D141" s="514"/>
      <c r="E141" s="515"/>
      <c r="F141" s="515"/>
      <c r="G141" s="515"/>
      <c r="H141" s="515"/>
      <c r="I141" s="515"/>
      <c r="J141" s="515"/>
      <c r="K141" s="515"/>
      <c r="L141" s="515"/>
      <c r="M141" s="515"/>
      <c r="N141" s="515"/>
      <c r="O141" s="516"/>
      <c r="P141" s="1"/>
      <c r="T141" s="14"/>
      <c r="U141" s="1"/>
      <c r="V141" s="1"/>
      <c r="W141" s="1"/>
      <c r="X141" s="1"/>
      <c r="Y141" s="1"/>
      <c r="Z141" s="1"/>
      <c r="AA141" s="1"/>
      <c r="AB141" s="1"/>
      <c r="AC141" s="1"/>
      <c r="AD141" s="1"/>
      <c r="AE141" s="13"/>
    </row>
    <row r="142" spans="2:31" ht="16.5" customHeight="1">
      <c r="B142" s="103"/>
      <c r="C142" s="169"/>
      <c r="D142" s="170"/>
      <c r="E142" s="170"/>
      <c r="F142" s="170"/>
      <c r="G142" s="170"/>
      <c r="H142" s="170"/>
      <c r="I142" s="170"/>
      <c r="J142" s="170"/>
      <c r="K142" s="170"/>
      <c r="L142" s="170"/>
      <c r="M142" s="170"/>
      <c r="N142" s="170"/>
      <c r="O142" s="170"/>
      <c r="P142" s="1"/>
      <c r="T142" s="14"/>
      <c r="U142" s="1"/>
      <c r="V142" s="1"/>
      <c r="W142" s="1"/>
      <c r="X142" s="1"/>
      <c r="Y142" s="1"/>
      <c r="Z142" s="1"/>
      <c r="AA142" s="1"/>
      <c r="AB142" s="1"/>
      <c r="AC142" s="1"/>
      <c r="AD142" s="1"/>
      <c r="AE142" s="13"/>
    </row>
    <row r="143" spans="2:31" ht="16.5" customHeight="1">
      <c r="B143" s="103"/>
      <c r="C143" s="387"/>
      <c r="D143" s="306"/>
      <c r="E143" s="306"/>
      <c r="F143" s="306"/>
      <c r="G143" s="306"/>
      <c r="H143" s="306"/>
      <c r="I143" s="306"/>
      <c r="J143" s="306"/>
      <c r="K143" s="306"/>
      <c r="L143" s="306"/>
      <c r="M143" s="306"/>
      <c r="N143" s="306"/>
      <c r="O143" s="306"/>
      <c r="P143" s="1"/>
      <c r="T143" s="518" t="s">
        <v>4</v>
      </c>
      <c r="U143" s="519"/>
      <c r="V143" s="519"/>
      <c r="W143" s="519"/>
      <c r="X143" s="519"/>
      <c r="Y143" s="519"/>
      <c r="Z143" s="139"/>
      <c r="AA143" s="145"/>
      <c r="AB143" s="194">
        <f>IFERROR(IF('Mon Entreprise'!K8&gt;=Annexes!Q18,0,1-'Mon Entreprise'!M118/2/AB135),0)</f>
        <v>0</v>
      </c>
      <c r="AC143" s="1"/>
      <c r="AD143" s="1"/>
      <c r="AE143" s="13"/>
    </row>
    <row r="144" spans="2:31" ht="16.5" customHeight="1">
      <c r="B144" s="103"/>
      <c r="C144" s="505" t="s">
        <v>112</v>
      </c>
      <c r="D144" s="505"/>
      <c r="E144" s="505"/>
      <c r="F144" s="505"/>
      <c r="G144" s="505"/>
      <c r="H144" s="505"/>
      <c r="I144" s="505"/>
      <c r="J144" s="505"/>
      <c r="K144" s="505"/>
      <c r="L144" s="505"/>
      <c r="M144" s="505"/>
      <c r="N144" s="505"/>
      <c r="O144" s="505"/>
      <c r="P144" s="1"/>
      <c r="T144" s="110"/>
      <c r="U144" s="520" t="s">
        <v>102</v>
      </c>
      <c r="V144" s="520"/>
      <c r="W144" s="520"/>
      <c r="X144" s="520"/>
      <c r="Y144" s="520"/>
      <c r="Z144" s="139"/>
      <c r="AA144" s="145"/>
      <c r="AB144" s="194">
        <f>IFERROR(IF('Mon Entreprise'!K8&gt;Annexes!Q26,0,1-'Mon Entreprise'!M114/AB135),0)</f>
        <v>0</v>
      </c>
      <c r="AC144" s="1"/>
      <c r="AD144" s="1"/>
      <c r="AE144" s="13"/>
    </row>
    <row r="145" spans="1:31" ht="16.5" customHeight="1">
      <c r="B145" s="103"/>
      <c r="C145" s="505"/>
      <c r="D145" s="505"/>
      <c r="E145" s="505"/>
      <c r="F145" s="505"/>
      <c r="G145" s="505"/>
      <c r="H145" s="505"/>
      <c r="I145" s="505"/>
      <c r="J145" s="505"/>
      <c r="K145" s="505"/>
      <c r="L145" s="505"/>
      <c r="M145" s="505"/>
      <c r="N145" s="505"/>
      <c r="O145" s="505"/>
      <c r="P145" s="1"/>
      <c r="T145" s="110"/>
      <c r="U145" s="520" t="s">
        <v>109</v>
      </c>
      <c r="V145" s="520"/>
      <c r="W145" s="520"/>
      <c r="X145" s="520"/>
      <c r="Y145" s="520"/>
      <c r="Z145" s="139"/>
      <c r="AA145" s="145"/>
      <c r="AB145" s="194">
        <f>IFERROR(IF(Annexes!O27&gt;'Mon Entreprise'!K8,1-'Mon Entreprise'!M98/'Mon Entreprise'!I98,""),0)</f>
        <v>0</v>
      </c>
      <c r="AC145" s="1"/>
      <c r="AD145" s="1"/>
      <c r="AE145" s="13"/>
    </row>
    <row r="146" spans="1:31" ht="16.5" customHeight="1">
      <c r="B146" s="103"/>
      <c r="C146" s="505"/>
      <c r="D146" s="505"/>
      <c r="E146" s="505"/>
      <c r="F146" s="505"/>
      <c r="G146" s="505"/>
      <c r="H146" s="505"/>
      <c r="I146" s="505"/>
      <c r="J146" s="505"/>
      <c r="K146" s="505"/>
      <c r="L146" s="505"/>
      <c r="M146" s="505"/>
      <c r="N146" s="505"/>
      <c r="O146" s="505"/>
      <c r="P146" s="1"/>
      <c r="T146" s="14"/>
      <c r="U146" s="521" t="s">
        <v>8</v>
      </c>
      <c r="V146" s="521"/>
      <c r="W146" s="521"/>
      <c r="X146" s="521"/>
      <c r="Y146" s="521"/>
      <c r="Z146" s="1"/>
      <c r="AA146" s="14"/>
      <c r="AB146" s="381" t="str">
        <f>IF((AND(Annexes!F5&gt;1,Annexes!F5&lt;=Annexes!H6)),"OUI","NON")</f>
        <v>NON</v>
      </c>
      <c r="AC146" s="1"/>
      <c r="AD146" s="1"/>
      <c r="AE146" s="13"/>
    </row>
    <row r="147" spans="1:31" ht="16.5" customHeight="1">
      <c r="B147" s="103"/>
      <c r="C147" s="387"/>
      <c r="D147" s="306"/>
      <c r="E147" s="417" t="str">
        <f>IF('Mon Entreprise'!K8&gt;Annexes!Q24,"",IF(OR(AB146="OUI",AND(AB147="OUI",OR(AB143&gt;=Annexes!P5,AB144&gt;=Annexes!P5,'Mes Aides'!AB145&gt;=0.1)),AB148=TRUE),"",IF(AND(AB147="OUI",OR(AB143&lt;Annexes!P5,AB144&lt;Annexes!P5,'Mes Aides'!AB145&lt;0.1)),"L'entreprise fait partie des entreprises mentionnées en annexe 2 ou 3 du décret mais n'a pas eu une perte de CA d'au-Moins 80 %, entre le 15/03/2020 et le 15/05/2020 ou Novembre 2020 ou 10 % entre 2019 et 2020","L'entreprise ne fait pas partie des entreprises ayant une fermeture administrative et ne fait pas partie des activités mentionnées aux annexes 1, 2 et 3 du décret")))</f>
        <v>L'entreprise ne fait pas partie des entreprises ayant une fermeture administrative et ne fait pas partie des activités mentionnées aux annexes 1, 2 et 3 du décret</v>
      </c>
      <c r="F147" s="417"/>
      <c r="G147" s="417"/>
      <c r="H147" s="417"/>
      <c r="I147" s="417"/>
      <c r="J147" s="417"/>
      <c r="K147" s="417"/>
      <c r="L147" s="417"/>
      <c r="M147" s="417"/>
      <c r="N147" s="417"/>
      <c r="O147" s="417"/>
      <c r="P147" s="1"/>
      <c r="T147" s="14"/>
      <c r="U147" s="490" t="s">
        <v>113</v>
      </c>
      <c r="V147" s="490"/>
      <c r="W147" s="490"/>
      <c r="X147" s="490"/>
      <c r="Y147" s="490"/>
      <c r="Z147" s="1"/>
      <c r="AA147" s="14"/>
      <c r="AB147" s="381" t="str">
        <f>IF(OR(Annexes!M17=TRUE,AND(Annexes!F7&gt;1,Annexes!F7&lt;=Annexes!H8)),"OUI","NON")</f>
        <v>NON</v>
      </c>
      <c r="AC147" s="1"/>
      <c r="AD147" s="1"/>
      <c r="AE147" s="13"/>
    </row>
    <row r="148" spans="1:31" ht="16.5" customHeight="1">
      <c r="B148" s="168"/>
      <c r="C148" s="387"/>
      <c r="D148" s="306"/>
      <c r="E148" s="417"/>
      <c r="F148" s="417"/>
      <c r="G148" s="417"/>
      <c r="H148" s="417"/>
      <c r="I148" s="417"/>
      <c r="J148" s="417"/>
      <c r="K148" s="417"/>
      <c r="L148" s="417"/>
      <c r="M148" s="417"/>
      <c r="N148" s="417"/>
      <c r="O148" s="417"/>
      <c r="P148" s="1"/>
      <c r="T148" s="14"/>
      <c r="U148" s="490" t="s">
        <v>12</v>
      </c>
      <c r="V148" s="490"/>
      <c r="W148" s="490"/>
      <c r="X148" s="490"/>
      <c r="Y148" s="490"/>
      <c r="Z148" s="1"/>
      <c r="AA148" s="14"/>
      <c r="AB148" s="381" t="b">
        <f>Annexes!M15</f>
        <v>0</v>
      </c>
      <c r="AC148" s="1"/>
      <c r="AD148" s="1"/>
      <c r="AE148" s="13"/>
    </row>
    <row r="149" spans="1:31" ht="16.5" customHeight="1">
      <c r="A149" s="99"/>
      <c r="B149" s="103"/>
      <c r="C149" s="387"/>
      <c r="D149" s="523" t="str">
        <f>IFERROR(IF('Mon Entreprise'!K8&gt;=Annexes!O20,IF(AB126&gt;=AB128,"- Le CA de référence est celui de Décembre 2019, soit une perte de "&amp;ROUND(AB126,0)&amp;" €"&amp;" ==&gt; "&amp;ROUND(AE126*100,0)&amp;" %","- Le CA de référence est celui de la création, soit une perte de "&amp;ROUND(AB128,0)&amp;" €"&amp;" ==&gt; "&amp;ROUND(AE128*100,0)&amp;" %"),IF(AB126&gt;=AB127,"- Le CA de référence est celui de Décembre 2019, soit une perte de "&amp;ROUND(AB126,0)&amp;" €"&amp;" ==&gt; "&amp;ROUND(AE126*100,0)&amp;" %","- Le CA de référence est celui de l'exercice 2019, soit une perte de "&amp;ROUND(AB127,0)&amp;" €"&amp;" ==&gt; "&amp;ROUND(AE127*100,0)&amp;" %")),"")</f>
        <v>- Le CA de référence est celui de Décembre 2019, soit une perte de 0 € ==&gt; 0 %</v>
      </c>
      <c r="E149" s="523"/>
      <c r="F149" s="523"/>
      <c r="G149" s="523"/>
      <c r="H149" s="523"/>
      <c r="I149" s="523"/>
      <c r="J149" s="523"/>
      <c r="K149" s="523"/>
      <c r="L149" s="523"/>
      <c r="M149" s="523"/>
      <c r="N149" s="523"/>
      <c r="O149" s="523"/>
      <c r="P149" s="1"/>
      <c r="T149" s="14"/>
      <c r="U149" s="525" t="s">
        <v>72</v>
      </c>
      <c r="V149" s="525"/>
      <c r="W149" s="525"/>
      <c r="X149" s="525"/>
      <c r="Y149" s="525"/>
      <c r="Z149" s="139"/>
      <c r="AA149" s="145"/>
      <c r="AB149" s="385" t="str">
        <f>IF('Mon Entreprise'!K8&lt;=Annexes!Q24,"Oui","Non")</f>
        <v>Oui</v>
      </c>
      <c r="AC149" s="139"/>
      <c r="AD149" s="1"/>
      <c r="AE149" s="13"/>
    </row>
    <row r="150" spans="1:31" ht="16.5" customHeight="1">
      <c r="B150" s="103"/>
      <c r="C150" s="387"/>
      <c r="D150" s="215" t="str">
        <f>IF(OR(AB146="OUI",AB148=TRUE),"- Sans ticket modérateur",IF(AND(AB147="OUI",OR(AB143&gt;=0.8,AB144&gt;=0.8,AB145&gt;=0.1)),"- La Perte de référence est plafonnée à 80 %, soit "&amp;ROUND(AB154,0)&amp;" €","- Sans ticket modérateur"))</f>
        <v>- Sans ticket modérateur</v>
      </c>
      <c r="E150" s="377"/>
      <c r="F150" s="377"/>
      <c r="G150" s="377"/>
      <c r="H150" s="377"/>
      <c r="I150" s="377"/>
      <c r="J150" s="377"/>
      <c r="K150" s="377"/>
      <c r="L150" s="377"/>
      <c r="M150" s="377"/>
      <c r="N150" s="377"/>
      <c r="O150" s="377"/>
      <c r="P150" s="1"/>
      <c r="T150" s="14"/>
      <c r="U150" s="525" t="s">
        <v>84</v>
      </c>
      <c r="V150" s="525"/>
      <c r="W150" s="525"/>
      <c r="X150" s="525"/>
      <c r="Y150" s="525"/>
      <c r="Z150" s="139"/>
      <c r="AA150" s="145"/>
      <c r="AB150" s="385">
        <f>IF('Mon Entreprise'!K8&gt;=Annexes!O20,IF(AB126&gt;=AB128,AB126,AB128),IF(AB126&gt;=AB127,AB126,AB127))</f>
        <v>0</v>
      </c>
      <c r="AC150" s="139"/>
      <c r="AD150" s="1"/>
      <c r="AE150" s="13"/>
    </row>
    <row r="151" spans="1:31" ht="16.5" customHeight="1" thickBot="1">
      <c r="B151" s="103"/>
      <c r="C151" s="387"/>
      <c r="D151" s="377"/>
      <c r="E151" s="377"/>
      <c r="F151" s="377"/>
      <c r="G151" s="377"/>
      <c r="H151" s="377"/>
      <c r="I151" s="377"/>
      <c r="J151" s="377"/>
      <c r="K151" s="377"/>
      <c r="L151" s="377"/>
      <c r="M151" s="377"/>
      <c r="N151" s="377"/>
      <c r="O151" s="377"/>
      <c r="P151" s="1"/>
      <c r="T151" s="14"/>
      <c r="U151" s="525" t="s">
        <v>85</v>
      </c>
      <c r="V151" s="525"/>
      <c r="W151" s="525"/>
      <c r="X151" s="525"/>
      <c r="Y151" s="525"/>
      <c r="Z151" s="139"/>
      <c r="AA151" s="145"/>
      <c r="AB151" s="385">
        <f>IF('Mon Entreprise'!K8&gt;=Annexes!O20,IF(AB126&gt;=AB128,AE126,AE128),IF(AB126&gt;=AB127,AE126,AE127))</f>
        <v>0</v>
      </c>
      <c r="AC151" s="139"/>
      <c r="AD151" s="1"/>
      <c r="AE151" s="13"/>
    </row>
    <row r="152" spans="1:31" ht="16.5" customHeight="1">
      <c r="B152" s="103"/>
      <c r="C152" s="387"/>
      <c r="D152" s="508" t="str">
        <f>IFERROR(IF('Mon Entreprise'!K8&gt;Annexes!Q24,"Vous avez débuté votre activité après le 30 Septembre 2020, vous ne pouvez donc pas bénéficier de cette aide",IF(AB148=TRUE,IF(AB154&gt;Annexes!O6,"Dans votre cas, l'aide est Plafonnée, à "&amp;Annexes!O6&amp;" € pour le mois de Décembre","Vous pouvez bénéficier, au titre de cette aide, d'un montant de "&amp;ROUND(AB154,0)&amp;" € pour le mois de Décembre"),IF(AB151&gt;=0.5,IF(OR(AB146="OUI",AND(AB147="OUI",OR(AB143&gt;=Annexes!P5,AB144&gt;=Annexes!P5,AB145&gt;=0.1))),IF(AB154&gt;Annexes!O6,"Dans votre cas, l'aide est Plafonnée, à "&amp;Annexes!O6&amp;" € pour le mois de Décembre","Vous pouvez bénéficier, au titre de cette aide, d'un montant de "&amp;ROUND(AB154,0)&amp;" € pour le mois de Décembre"),IF(AND(AB147="OUI",OR(AB143&lt;Annexes!P5,AB144&lt;Annexes!P5,AB145&lt;0.1)),"L'entreprise fait partie des entreprises mentionnées en annexe 2 ou 3 du décret, mais n'a pas eu une perte de CA d'au-Moins 80 % entre le 15/03/2020 et le 15/05/2020 ou au mois de Novembre 2020 ou 10 % de perte entre 2019 et 2020","L'entreprise ne fait pas partie des entreprises ayant une fermeture administrative et ne fait pas partie des activités mentionnées aux annexes 1, 2 et 3 du décret")),"L'entreprise n'a pas une perte d'au moins 50 % en Décembre 2020"))),"Vous n'avez pas indiqué de chiffre d'affaires de référence")</f>
        <v>L'entreprise n'a pas une perte d'au moins 50 % en Décembre 2020</v>
      </c>
      <c r="E152" s="509"/>
      <c r="F152" s="509"/>
      <c r="G152" s="509"/>
      <c r="H152" s="509"/>
      <c r="I152" s="509"/>
      <c r="J152" s="509"/>
      <c r="K152" s="509"/>
      <c r="L152" s="509"/>
      <c r="M152" s="509"/>
      <c r="N152" s="509"/>
      <c r="O152" s="510"/>
      <c r="P152" s="1"/>
      <c r="T152" s="14"/>
      <c r="U152" s="502" t="s">
        <v>74</v>
      </c>
      <c r="V152" s="502"/>
      <c r="W152" s="502"/>
      <c r="X152" s="502"/>
      <c r="Y152" s="502"/>
      <c r="Z152" s="139"/>
      <c r="AA152" s="145"/>
      <c r="AB152" s="385">
        <f>IF(OR(AB146="OUI",AB148=TRUE),1,IF(AND(AB147="OUI",OR(AB143&gt;=0.8,AB144&gt;=0.8)),0.8,1))</f>
        <v>1</v>
      </c>
      <c r="AC152" s="139"/>
      <c r="AD152" s="1"/>
      <c r="AE152" s="13"/>
    </row>
    <row r="153" spans="1:31" ht="16.5" customHeight="1">
      <c r="B153" s="173"/>
      <c r="C153" s="387"/>
      <c r="D153" s="511"/>
      <c r="E153" s="512"/>
      <c r="F153" s="512"/>
      <c r="G153" s="512"/>
      <c r="H153" s="512"/>
      <c r="I153" s="512"/>
      <c r="J153" s="512"/>
      <c r="K153" s="512"/>
      <c r="L153" s="512"/>
      <c r="M153" s="512"/>
      <c r="N153" s="512"/>
      <c r="O153" s="513"/>
      <c r="P153" s="1"/>
      <c r="T153" s="14"/>
      <c r="U153" s="502" t="s">
        <v>80</v>
      </c>
      <c r="V153" s="502"/>
      <c r="W153" s="502"/>
      <c r="X153" s="502"/>
      <c r="Y153" s="502"/>
      <c r="Z153" s="139"/>
      <c r="AA153" s="145"/>
      <c r="AB153" s="385">
        <f>IF('Mon Entreprise'!K8&gt;=Annexes!O20,IF(AB126&gt;=AB128,Y126,Y128),IF(AB126&gt;=AB127,Y126,Y127))</f>
        <v>0</v>
      </c>
      <c r="AC153" s="139"/>
      <c r="AD153" s="1"/>
      <c r="AE153" s="13"/>
    </row>
    <row r="154" spans="1:31" ht="16.5" customHeight="1">
      <c r="B154" s="103"/>
      <c r="C154" s="387"/>
      <c r="D154" s="511"/>
      <c r="E154" s="512"/>
      <c r="F154" s="512"/>
      <c r="G154" s="512"/>
      <c r="H154" s="512"/>
      <c r="I154" s="512"/>
      <c r="J154" s="512"/>
      <c r="K154" s="512"/>
      <c r="L154" s="512"/>
      <c r="M154" s="512"/>
      <c r="N154" s="512"/>
      <c r="O154" s="513"/>
      <c r="P154" s="1"/>
      <c r="T154" s="14"/>
      <c r="U154" s="490" t="s">
        <v>104</v>
      </c>
      <c r="V154" s="490"/>
      <c r="W154" s="490"/>
      <c r="X154" s="490"/>
      <c r="Y154" s="490"/>
      <c r="Z154" s="1"/>
      <c r="AA154" s="14"/>
      <c r="AB154" s="381">
        <f>IF(AB152=1,AB150,IF(AB150*AB152&gt;1500,IF(AB150&gt;1500,AB150*AB152,"Impossible"),IF(AB150&lt;1500,AB150,1500)))</f>
        <v>0</v>
      </c>
      <c r="AC154" s="1"/>
      <c r="AD154" s="1"/>
      <c r="AE154" s="13"/>
    </row>
    <row r="155" spans="1:31" ht="16.5" customHeight="1" thickBot="1">
      <c r="B155" s="103"/>
      <c r="C155" s="387"/>
      <c r="D155" s="514"/>
      <c r="E155" s="515"/>
      <c r="F155" s="515"/>
      <c r="G155" s="515"/>
      <c r="H155" s="515"/>
      <c r="I155" s="515"/>
      <c r="J155" s="515"/>
      <c r="K155" s="515"/>
      <c r="L155" s="515"/>
      <c r="M155" s="515"/>
      <c r="N155" s="515"/>
      <c r="O155" s="516"/>
      <c r="P155" s="1"/>
      <c r="T155" s="14"/>
      <c r="U155" s="381"/>
      <c r="V155" s="381"/>
      <c r="W155" s="381"/>
      <c r="X155" s="381"/>
      <c r="Y155" s="381"/>
      <c r="Z155" s="1"/>
      <c r="AA155" s="1"/>
      <c r="AB155" s="1"/>
      <c r="AC155" s="1"/>
      <c r="AD155" s="1"/>
      <c r="AE155" s="13"/>
    </row>
    <row r="156" spans="1:31" ht="16.5" customHeight="1">
      <c r="B156" s="103"/>
      <c r="C156" s="169"/>
      <c r="D156" s="174"/>
      <c r="E156" s="174"/>
      <c r="F156" s="174"/>
      <c r="G156" s="174"/>
      <c r="H156" s="174"/>
      <c r="I156" s="174"/>
      <c r="J156" s="174"/>
      <c r="K156" s="174"/>
      <c r="L156" s="174"/>
      <c r="M156" s="174"/>
      <c r="N156" s="174"/>
      <c r="O156" s="174"/>
      <c r="P156" s="1"/>
      <c r="T156" s="14"/>
      <c r="U156" s="490"/>
      <c r="V156" s="490"/>
      <c r="W156" s="490"/>
      <c r="X156" s="490"/>
      <c r="Y156" s="490"/>
      <c r="Z156" s="1"/>
      <c r="AA156" s="1"/>
      <c r="AB156" s="1"/>
      <c r="AC156" s="1"/>
      <c r="AD156" s="1"/>
      <c r="AE156" s="13"/>
    </row>
    <row r="157" spans="1:31" ht="16.5" customHeight="1">
      <c r="B157" s="103"/>
      <c r="C157" s="387"/>
      <c r="D157" s="377"/>
      <c r="E157" s="377"/>
      <c r="F157" s="377"/>
      <c r="G157" s="377"/>
      <c r="H157" s="377"/>
      <c r="I157" s="377"/>
      <c r="J157" s="377"/>
      <c r="K157" s="377"/>
      <c r="L157" s="377"/>
      <c r="M157" s="377"/>
      <c r="N157" s="377"/>
      <c r="O157" s="377"/>
      <c r="P157" s="1"/>
      <c r="T157" s="14"/>
      <c r="U157" s="381"/>
      <c r="V157" s="381"/>
      <c r="W157" s="381"/>
      <c r="X157" s="381"/>
      <c r="Y157" s="381"/>
      <c r="Z157" s="1"/>
      <c r="AA157" s="1"/>
      <c r="AB157" s="1"/>
      <c r="AC157" s="1"/>
      <c r="AD157" s="1"/>
      <c r="AE157" s="13"/>
    </row>
    <row r="158" spans="1:31" ht="16.5" customHeight="1">
      <c r="B158" s="103"/>
      <c r="C158" s="529" t="s">
        <v>114</v>
      </c>
      <c r="D158" s="529"/>
      <c r="E158" s="529"/>
      <c r="F158" s="529"/>
      <c r="G158" s="529"/>
      <c r="H158" s="529"/>
      <c r="I158" s="529"/>
      <c r="J158" s="529"/>
      <c r="K158" s="529"/>
      <c r="L158" s="529"/>
      <c r="M158" s="529"/>
      <c r="N158" s="529"/>
      <c r="O158" s="529"/>
      <c r="P158" s="1"/>
      <c r="T158" s="14"/>
      <c r="U158" s="1"/>
      <c r="V158" s="1"/>
      <c r="W158" s="1"/>
      <c r="X158" s="1"/>
      <c r="Y158" s="1"/>
      <c r="Z158" s="1"/>
      <c r="AA158" s="1"/>
      <c r="AB158" s="1"/>
      <c r="AC158" s="1"/>
      <c r="AD158" s="1"/>
      <c r="AE158" s="13"/>
    </row>
    <row r="159" spans="1:31" ht="16.5" customHeight="1">
      <c r="B159" s="103"/>
      <c r="C159" s="529"/>
      <c r="D159" s="529"/>
      <c r="E159" s="529"/>
      <c r="F159" s="529"/>
      <c r="G159" s="529"/>
      <c r="H159" s="529"/>
      <c r="I159" s="529"/>
      <c r="J159" s="529"/>
      <c r="K159" s="529"/>
      <c r="L159" s="529"/>
      <c r="M159" s="529"/>
      <c r="N159" s="529"/>
      <c r="O159" s="529"/>
      <c r="P159" s="1"/>
      <c r="T159" s="14"/>
      <c r="U159" s="1"/>
      <c r="V159" s="1"/>
      <c r="W159" s="1"/>
      <c r="X159" s="1"/>
      <c r="Y159" s="1"/>
      <c r="Z159" s="1"/>
      <c r="AA159" s="1"/>
      <c r="AB159" s="1"/>
      <c r="AC159" s="1"/>
      <c r="AD159" s="1"/>
      <c r="AE159" s="13"/>
    </row>
    <row r="160" spans="1:31" ht="16.5" customHeight="1">
      <c r="B160" s="173"/>
      <c r="C160" s="529"/>
      <c r="D160" s="529"/>
      <c r="E160" s="529"/>
      <c r="F160" s="529"/>
      <c r="G160" s="529"/>
      <c r="H160" s="529"/>
      <c r="I160" s="529"/>
      <c r="J160" s="529"/>
      <c r="K160" s="529"/>
      <c r="L160" s="529"/>
      <c r="M160" s="529"/>
      <c r="N160" s="529"/>
      <c r="O160" s="529"/>
      <c r="P160" s="1"/>
      <c r="T160" s="14"/>
      <c r="U160" s="502" t="s">
        <v>82</v>
      </c>
      <c r="V160" s="502"/>
      <c r="W160" s="502"/>
      <c r="X160" s="502"/>
      <c r="Y160" s="502"/>
      <c r="Z160" s="68"/>
      <c r="AA160" s="1"/>
      <c r="AB160" s="1">
        <f>IFERROR(IF(AB134="Non",0,IF(AB137&gt;=0.5,IF(AB136&gt;Annexes!O5,Annexes!O5,ROUND(AB136,0)),0)),0)</f>
        <v>0</v>
      </c>
      <c r="AC160" s="1"/>
      <c r="AD160" s="1"/>
      <c r="AE160" s="13"/>
    </row>
    <row r="161" spans="2:31" ht="16.5" customHeight="1">
      <c r="B161" s="173"/>
      <c r="C161" s="387"/>
      <c r="D161" s="306"/>
      <c r="E161" s="417" t="str">
        <f>IF('Mon Entreprise'!K8&gt;Annexes!Q24,"",IF(OR(AB146="OUI",AND(AB147="OUI",OR(AB143&gt;=Annexes!P5,AB144&gt;=Annexes!P5,'Mes Aides'!AB145&gt;=0.1)),AB148=TRUE),"",IF(AND(AB147="OUI",OR(AB143&lt;Annexes!P5,AB144&lt;Annexes!P5,'Mes Aides'!AB145&lt;0.1)),"L'entreprise fait partie des entreprises mentionnées en annexe 2 ou 3 du décret mais n'a pas eu une perte de CA d'au-Moins 80 %, entre le 15/03/2020 et le 15/05/2020 ou Novembre 2020 ou 10 % entre 2019 et 2020","L'entreprise ne fait pas partie des entreprises ayant une fermeture administrative et ne fait pas partie des activités mentionnées aux annexes 1, 2 et 3 du décret")))</f>
        <v>L'entreprise ne fait pas partie des entreprises ayant une fermeture administrative et ne fait pas partie des activités mentionnées aux annexes 1, 2 et 3 du décret</v>
      </c>
      <c r="F161" s="417"/>
      <c r="G161" s="417"/>
      <c r="H161" s="417"/>
      <c r="I161" s="417"/>
      <c r="J161" s="417"/>
      <c r="K161" s="417"/>
      <c r="L161" s="417"/>
      <c r="M161" s="417"/>
      <c r="N161" s="417"/>
      <c r="O161" s="417"/>
      <c r="P161" s="1"/>
      <c r="T161" s="14"/>
      <c r="U161" s="502" t="s">
        <v>81</v>
      </c>
      <c r="V161" s="502"/>
      <c r="W161" s="502"/>
      <c r="X161" s="502"/>
      <c r="Y161" s="502"/>
      <c r="Z161" s="68"/>
      <c r="AA161" s="1"/>
      <c r="AB161" s="1">
        <f>IFERROR(IF('Mon Entreprise'!K8&gt;Annexes!Q24,0,IF(AB148=TRUE,IF(AB154&gt;Annexes!O6,Annexes!O6,ROUND(AB154,0)),IF(AB151&gt;=0.5,IF(OR(AB146="OUI",AND(AB147="OUI",OR(AB143&gt;=Annexes!P5,AB144&gt;=Annexes!P5))),IF(AB154&gt;Annexes!O6,Annexes!O6,ROUND(AB154,0)),IF(AND(AB147="OUI",OR(AB143&lt;Annexes!P5,AB144&lt;Annexes!P5)),0,0)),0))),0)</f>
        <v>0</v>
      </c>
      <c r="AC161" s="1"/>
      <c r="AD161" s="1"/>
      <c r="AE161" s="13"/>
    </row>
    <row r="162" spans="2:31" ht="16.5" customHeight="1">
      <c r="B162" s="173"/>
      <c r="C162" s="387"/>
      <c r="D162" s="306"/>
      <c r="E162" s="417"/>
      <c r="F162" s="417"/>
      <c r="G162" s="417"/>
      <c r="H162" s="417"/>
      <c r="I162" s="417"/>
      <c r="J162" s="417"/>
      <c r="K162" s="417"/>
      <c r="L162" s="417"/>
      <c r="M162" s="417"/>
      <c r="N162" s="417"/>
      <c r="O162" s="417"/>
      <c r="P162" s="1"/>
      <c r="T162" s="14"/>
      <c r="U162" s="502" t="s">
        <v>399</v>
      </c>
      <c r="V162" s="502"/>
      <c r="W162" s="502"/>
      <c r="X162" s="502"/>
      <c r="Y162" s="502"/>
      <c r="Z162" s="68"/>
      <c r="AA162" s="1"/>
      <c r="AB162" s="1">
        <f>IFERROR(IF('Mon Entreprise'!K8&gt;Annexes!Q24,0,IF(AB148=TRUE,IF(AB153=0,0,IF(AB150&lt;AB153*0.2,ROUND(AB150,0),IF(AB153*0.2&gt;=200000,Annexes!O8,ROUND(AB153*0.2,0)))),IF(AB146="OUI",IF(AB151&gt;=0.7,IF(AB150&lt;AB153*0.2,ROUND(AB150,0),IF(AB153*0.2&gt;=200000,Annexes!O8,ROUND(AB153*0.2,0))),IF(AB151&gt;=0.5,IF(AB150&lt;AB153*0.15,ROUND(AB150,0),IF(AB153*0.15&gt;=200000,Annexes!O8,ROUND(AB153*0.15,0))),IF(AND(AB147="OUI",OR(AB143&gt;=0.8,AB144&gt;=0.8,AB145&gt;=0.1),AB151&gt;=0.7),IF(AB150&lt;AB153*0.2,ROUND(AB150,0),IF(AB153*0.2&gt;=200000,Annexes!O8,ROUND(AB153*0.2,0))),0))),IF(AND(AB147="OUI",OR(AB143&gt;=0.8,AB144&gt;=0.8,AB145&gt;=0.1),AB151&gt;=0.7),IF(AB150&lt;AB153*0.2,ROUND(AB150,0),IF(AB153*0.2&gt;=200000,Annexes!O8,ROUND(AB153*0.2,0))),0)))),0)</f>
        <v>0</v>
      </c>
      <c r="AC162" s="1"/>
      <c r="AD162" s="1"/>
      <c r="AE162" s="13"/>
    </row>
    <row r="163" spans="2:31" ht="16.5" customHeight="1">
      <c r="B163" s="173"/>
      <c r="C163" s="387"/>
      <c r="D163" s="417" t="str">
        <f>IFERROR(IF('Mon Entreprise'!K8&gt;=Annexes!O20,IF(AB126&gt;=AB128,"- Le CA de référence est celui de Décembre 2019, soit une perte de "&amp;ROUND(AB126,0)&amp;" €"&amp;" ==&gt; "&amp;ROUND(AE126*100,0)&amp;" %","- Le CA de référence est celui de la création, soit une perte de "&amp;ROUND(AB128,0)&amp;" €"&amp;" ==&gt; "&amp;ROUND(AE128*100,0)&amp;" %"),IF(AB126&gt;=AB127,"- Le CA de référence est celui de Décembre 2019, soit une perte de "&amp;ROUND(AB126,0)&amp;" €"&amp;" ==&gt; "&amp;ROUND(AE126*100,0)&amp;" %","- Le CA de référence est celui de l'exercice 2019, soit une perte de "&amp;ROUND(AB127,0)&amp;" €"&amp;" ==&gt; "&amp;ROUND(AE127*100,0)&amp;" %")),"")</f>
        <v>- Le CA de référence est celui de Décembre 2019, soit une perte de 0 € ==&gt; 0 %</v>
      </c>
      <c r="E163" s="417"/>
      <c r="F163" s="417"/>
      <c r="G163" s="417"/>
      <c r="H163" s="417"/>
      <c r="I163" s="417"/>
      <c r="J163" s="417"/>
      <c r="K163" s="417"/>
      <c r="L163" s="417"/>
      <c r="M163" s="417"/>
      <c r="N163" s="417"/>
      <c r="O163" s="417"/>
      <c r="P163" s="377"/>
      <c r="Q163" s="377"/>
      <c r="T163" s="14"/>
      <c r="U163" s="1"/>
      <c r="V163" s="1"/>
      <c r="W163" s="1"/>
      <c r="X163" s="1"/>
      <c r="Y163" s="1"/>
      <c r="Z163" s="1"/>
      <c r="AA163" s="1"/>
      <c r="AB163" s="1"/>
      <c r="AC163" s="1"/>
      <c r="AD163" s="1"/>
      <c r="AE163" s="13"/>
    </row>
    <row r="164" spans="2:31" ht="16.5" customHeight="1">
      <c r="B164" s="103"/>
      <c r="C164" s="387"/>
      <c r="D164" s="523" t="str">
        <f>IF(AB148=TRUE,"- L'entreprise peut bénéficier d'une aide de 20 % du CA de référence, plafonnée à 200 000 €",IF(AB146="OUI",IF(AB151&gt;=0.7,"- L'entreprise peut bénéficier d'une aide de 20 % du CA de référence, plafonnée à 200 000 €",IF(AB151&gt;=0.5,"- L'entreprise peut bénéficier d'une aide de 15 % du CA de référence, plafonnée à 200 000 €","- L'entreprise n'a subi ni de fermeture administrative au mois de Décembre, ni de perte d'au moins 50 % de son CA")),IF(AND(AB147="OUI",OR(AB143&gt;=0.8,AB144&gt;=0.8,AB145&gt;=0.1),AB151&gt;=0.7),"- L'entreprise peut bénéficier d'une aide de 20 % du CA de référence, plafonnée à 200 000 €","- L'entreprise ne fait ni partie des fermetures administratives au mois de Décembre, ni des activités mentionnées en annexe 1 (S1) ou en annexe 2 (S1 bis) ou Annexe 3")))</f>
        <v>- L'entreprise ne fait ni partie des fermetures administratives au mois de Décembre, ni des activités mentionnées en annexe 1 (S1) ou en annexe 2 (S1 bis) ou Annexe 3</v>
      </c>
      <c r="E164" s="523"/>
      <c r="F164" s="523"/>
      <c r="G164" s="523"/>
      <c r="H164" s="523"/>
      <c r="I164" s="523"/>
      <c r="J164" s="523"/>
      <c r="K164" s="523"/>
      <c r="L164" s="523"/>
      <c r="M164" s="523"/>
      <c r="N164" s="523"/>
      <c r="O164" s="523"/>
      <c r="P164" s="377"/>
      <c r="Q164" s="377"/>
      <c r="T164" s="14"/>
      <c r="U164" s="1"/>
      <c r="V164" s="1"/>
      <c r="W164" s="1"/>
      <c r="X164" s="1"/>
      <c r="Y164" s="1"/>
      <c r="Z164" s="1"/>
      <c r="AA164" s="1"/>
      <c r="AB164" s="1"/>
      <c r="AC164" s="1"/>
      <c r="AD164" s="1"/>
      <c r="AE164" s="13"/>
    </row>
    <row r="165" spans="2:31" ht="16.5" customHeight="1">
      <c r="B165" s="168"/>
      <c r="C165" s="387"/>
      <c r="D165" s="523"/>
      <c r="E165" s="523"/>
      <c r="F165" s="523"/>
      <c r="G165" s="523"/>
      <c r="H165" s="523"/>
      <c r="I165" s="523"/>
      <c r="J165" s="523"/>
      <c r="K165" s="523"/>
      <c r="L165" s="523"/>
      <c r="M165" s="523"/>
      <c r="N165" s="523"/>
      <c r="O165" s="523"/>
      <c r="P165" s="377"/>
      <c r="Q165" s="377"/>
      <c r="T165" s="14"/>
      <c r="U165" s="1"/>
      <c r="V165" s="1"/>
      <c r="W165" s="1"/>
      <c r="X165" s="1"/>
      <c r="Y165" s="1"/>
      <c r="Z165" s="1"/>
      <c r="AA165" s="1"/>
      <c r="AB165" s="1"/>
      <c r="AC165" s="1"/>
      <c r="AD165" s="1"/>
      <c r="AE165" s="13"/>
    </row>
    <row r="166" spans="2:31" ht="16.5" customHeight="1" thickBot="1">
      <c r="B166" s="168"/>
      <c r="C166" s="387"/>
      <c r="D166" s="205"/>
      <c r="E166" s="377"/>
      <c r="F166" s="377"/>
      <c r="G166" s="377"/>
      <c r="H166" s="377"/>
      <c r="I166" s="377"/>
      <c r="J166" s="377"/>
      <c r="K166" s="377"/>
      <c r="L166" s="377"/>
      <c r="M166" s="377"/>
      <c r="N166" s="377"/>
      <c r="O166" s="377"/>
      <c r="P166" s="377"/>
      <c r="Q166" s="377"/>
      <c r="T166" s="14"/>
      <c r="U166" s="1"/>
      <c r="V166" s="1"/>
      <c r="W166" s="1"/>
      <c r="X166" s="1"/>
      <c r="Y166" s="1"/>
      <c r="Z166" s="1"/>
      <c r="AA166" s="1"/>
      <c r="AB166" s="1"/>
      <c r="AC166" s="1"/>
      <c r="AD166" s="1"/>
      <c r="AE166" s="13"/>
    </row>
    <row r="167" spans="2:31" ht="16.5" customHeight="1">
      <c r="B167" s="103"/>
      <c r="C167" s="180"/>
      <c r="D167" s="526" t="str">
        <f>IFERROR(IF('Mon Entreprise'!K8&gt;Annexes!Q24,"Vous avez débuté votre activité après le 30 Septembre 2020, vous ne pouvez donc pas bénéficier de cette aide",IF(AB148=TRUE,IF(AB153=0,"Vous n'avez pas indiqué de chiffre d'affaires de référence",IF(AB150&lt;AB153*0.2,"Dans votre cas, la perte est inférieure à 20 % du CA, l'aide est donc plafonnée à la perte, soit "&amp;ROUND(AB150,0)&amp;" € pour le mois de Décembre",IF(AB153*0.2&gt;=200000,"Dans votre cas, l'aide est plafonnée, à "&amp;Annexes!O8&amp;" € pour le mois de Décembre","Vous pouvez bénéficier, au titre de cette aide, d'un montant de "&amp;ROUND(AB153*0.2,0)&amp;" € pour le mois de Décembre"))),IF(AB146="OUI",IF(AB151&gt;=0.7,IF(AB150&lt;AB153*0.2,"Dans votre cas, la perte est inférieure à 20 % du CA, l'aide est donc plafonnée à la perte, soit "&amp;ROUND(AB150,0)&amp;" € pour le mois de Décembre",IF(AB153*0.2&gt;=200000,"Dans votre cas, l'aide est plafonnée, à "&amp;Annexes!O8&amp;" € pour le mois de Décembre","Vous pouvez bénéficier, au titre de cette aide, d'un montant de "&amp;ROUND(AB153*0.2,0)&amp;" € pour le mois de Décembre")),IF(AB151&gt;=0.5,IF(AB150&lt;AB153*0.15,"Dans votre cas, la perte est inférieure à 15 % du CA, l'aide est donc plafonnée à la perte, soit "&amp;ROUND(AB150,0)&amp;" € pour le mois de Décembre",IF(AB153*0.15&gt;=200000,"Dans votre cas, l'aide est plafonnée, à "&amp;Annexes!O8&amp;" € pour le mois de Décembre","Vous pouvez bénéficier, au titre de cette aide, d'un montant de "&amp;ROUND(AB153*0.15,0)&amp;" € pour le mois de Décembre")),IF(AND(AB147="OUI",OR(AB143&gt;=0.8,AB144&gt;=0.8,AB145&gt;=0.1),AB151&gt;=0.7),IF(AB150&lt;AB153*0.2,"Dans votre cas, la perte est inférieure à 20 % du CA, l'aide est donc plafonnée à la perte, soit "&amp;ROUND(AB150,0)&amp;" € pour le mois de Décembre"&amp;IF(AND(AB147="OUI",AB162&gt;AB161,AB162&gt;AB160)," *",""),IF(AB153*0.2&gt;=200000,"Dans votre cas, l'aide est plafonnée, à "&amp;Annexes!O8&amp;" € pour le mois de Décembre"&amp;IF(AND(AB147="OUI",AB162&gt;AB161,AB162&gt;AB160)," *",""),"Vous pouvez bénéficier, au titre de cette aide, d'un montant de "&amp;ROUND(AB153*0.2,0)&amp;" € pour le mois de Décembre"&amp;IF(AND(AB147="OUI",AB162&gt;AB161,AB162&gt;AB160)," *",""))),"L'entreprise ne fait ni partie des fermetures administratives au mois de Décembre, ni des activités mentionnées en annexe 1 (S1) avec 50 % de perte en Décembre ou en annexe 2 (S1 bis) ou 3 avec 70 % de Perte en Décembre"))),IF(AND(AB147="OUI",OR(AB143&gt;=0.8,AB144&gt;=0.8,AB145&gt;=0.1),AB151&gt;=0.7),IF(AB150&lt;AB153*0.2,"Dans votre cas, la perte est inférieure à 20 % du CA, l'aide est donc plafonnée à la perte, soit "&amp;ROUND(AB150,0)&amp;" € pour le mois de Décembre"&amp;IF(AND(AB147="OUI",AB162&gt;AB161,AB162&gt;AB160)," *",""),IF(AB153*0.2&gt;=200000,"Dans votre cas, l'aide est plafonnée, à "&amp;Annexes!O8&amp;" € pour le mois de Décembre"&amp;IF(AND(AB147="OUI",AB162&gt;AB161,AB162&gt;AB160)," *",""),"Vous pouvez bénéficier, au titre de cette aide, d'un montant de "&amp;ROUND(AB153*0.2,0)&amp;" € pour le mois de Décembre"&amp;IF(AND(AB147="OUI",AB162&gt;AB161,AB162&gt;AB160)," *",""))),"L'entreprise ne fait ni partie des fermetures administratives au mois de Décembre, ni des activités mentionnées en annexe 1 (S1) avec 50 % de perte en Décembre ou en annexe 2 (S1 bis) ou 3 avec 70 % de Perte en Décembre")))),"Vous n'avez pas indiqué de chiffre d'affaires de référence")</f>
        <v>L'entreprise ne fait ni partie des fermetures administratives au mois de Décembre, ni des activités mentionnées en annexe 1 (S1) avec 50 % de perte en Décembre ou en annexe 2 (S1 bis) ou 3 avec 70 % de Perte en Décembre</v>
      </c>
      <c r="E167" s="509"/>
      <c r="F167" s="509"/>
      <c r="G167" s="509"/>
      <c r="H167" s="509"/>
      <c r="I167" s="509"/>
      <c r="J167" s="509"/>
      <c r="K167" s="509"/>
      <c r="L167" s="509"/>
      <c r="M167" s="509"/>
      <c r="N167" s="509"/>
      <c r="O167" s="510"/>
      <c r="P167" s="377"/>
      <c r="Q167" s="377"/>
      <c r="T167" s="14"/>
      <c r="U167" s="1"/>
      <c r="V167" s="1"/>
      <c r="W167" s="1"/>
      <c r="X167" s="1"/>
      <c r="Y167" s="1"/>
      <c r="Z167" s="1"/>
      <c r="AA167" s="1"/>
      <c r="AB167" s="1"/>
      <c r="AC167" s="1"/>
      <c r="AD167" s="1"/>
      <c r="AE167" s="13"/>
    </row>
    <row r="168" spans="2:31" ht="16.5" customHeight="1">
      <c r="B168" s="103"/>
      <c r="C168" s="180"/>
      <c r="D168" s="511"/>
      <c r="E168" s="512"/>
      <c r="F168" s="512"/>
      <c r="G168" s="512"/>
      <c r="H168" s="512"/>
      <c r="I168" s="512"/>
      <c r="J168" s="512"/>
      <c r="K168" s="512"/>
      <c r="L168" s="512"/>
      <c r="M168" s="512"/>
      <c r="N168" s="512"/>
      <c r="O168" s="513"/>
      <c r="P168" s="377"/>
      <c r="Q168" s="377"/>
      <c r="T168" s="14"/>
      <c r="U168" s="1"/>
      <c r="V168" s="1"/>
      <c r="W168" s="1"/>
      <c r="X168" s="1"/>
      <c r="Y168" s="1"/>
      <c r="Z168" s="1"/>
      <c r="AA168" s="1"/>
      <c r="AB168" s="1"/>
      <c r="AC168" s="1"/>
      <c r="AD168" s="1"/>
      <c r="AE168" s="13"/>
    </row>
    <row r="169" spans="2:31" ht="16.5" customHeight="1">
      <c r="B169" s="103"/>
      <c r="C169" s="180"/>
      <c r="D169" s="511"/>
      <c r="E169" s="512"/>
      <c r="F169" s="512"/>
      <c r="G169" s="512"/>
      <c r="H169" s="512"/>
      <c r="I169" s="512"/>
      <c r="J169" s="512"/>
      <c r="K169" s="512"/>
      <c r="L169" s="512"/>
      <c r="M169" s="512"/>
      <c r="N169" s="512"/>
      <c r="O169" s="513"/>
      <c r="P169" s="175"/>
      <c r="Q169" s="175"/>
      <c r="T169" s="14"/>
      <c r="U169" s="1"/>
      <c r="V169" s="1"/>
      <c r="W169" s="1"/>
      <c r="X169" s="1"/>
      <c r="Y169" s="1"/>
      <c r="Z169" s="1"/>
      <c r="AA169" s="1"/>
      <c r="AB169" s="1"/>
      <c r="AC169" s="1"/>
      <c r="AD169" s="1"/>
      <c r="AE169" s="13"/>
    </row>
    <row r="170" spans="2:31" ht="16.5" customHeight="1" thickBot="1">
      <c r="B170" s="103"/>
      <c r="C170" s="180"/>
      <c r="D170" s="514"/>
      <c r="E170" s="515"/>
      <c r="F170" s="515"/>
      <c r="G170" s="515"/>
      <c r="H170" s="515"/>
      <c r="I170" s="515"/>
      <c r="J170" s="515"/>
      <c r="K170" s="515"/>
      <c r="L170" s="515"/>
      <c r="M170" s="515"/>
      <c r="N170" s="515"/>
      <c r="O170" s="516"/>
      <c r="T170" s="14"/>
      <c r="U170" s="1"/>
      <c r="V170" s="1"/>
      <c r="W170" s="1"/>
      <c r="X170" s="1"/>
      <c r="Y170" s="1"/>
      <c r="Z170" s="1"/>
      <c r="AA170" s="1"/>
      <c r="AB170" s="1"/>
      <c r="AC170" s="1"/>
      <c r="AD170" s="1"/>
      <c r="AE170" s="13"/>
    </row>
    <row r="171" spans="2:31" ht="15.75">
      <c r="B171" s="103"/>
      <c r="C171" s="387"/>
      <c r="D171" s="532" t="str">
        <f>IF(AND(AB147="OUI",AB162&gt;AB161,AB162&gt;AB160),"* Le cas échéant, l’aide perçue au titre de l’Art. 3-15 ou 3-16, si elle a déjà été demandée, vient en diminution de la présente aide complémentaire au titre de l'Art. 3-17 ou 3-18 du décret 2021-79 du 28 Janvier 2021","")</f>
        <v/>
      </c>
      <c r="E171" s="532"/>
      <c r="F171" s="532"/>
      <c r="G171" s="532"/>
      <c r="H171" s="532"/>
      <c r="I171" s="532"/>
      <c r="J171" s="532"/>
      <c r="K171" s="532"/>
      <c r="L171" s="532"/>
      <c r="M171" s="532"/>
      <c r="N171" s="532"/>
      <c r="O171" s="532"/>
      <c r="P171" s="176"/>
      <c r="Q171" s="176"/>
      <c r="T171" s="14"/>
      <c r="U171" s="1"/>
      <c r="V171" s="1"/>
      <c r="W171" s="1"/>
      <c r="X171" s="1"/>
      <c r="Y171" s="1"/>
      <c r="Z171" s="1"/>
      <c r="AA171" s="1"/>
      <c r="AB171" s="1"/>
      <c r="AC171" s="1"/>
      <c r="AD171" s="1"/>
      <c r="AE171" s="13"/>
    </row>
    <row r="172" spans="2:31" ht="31.5" customHeight="1">
      <c r="B172" s="5"/>
      <c r="C172" s="5"/>
      <c r="D172" s="389"/>
      <c r="E172" s="389"/>
      <c r="F172" s="389"/>
      <c r="G172" s="389"/>
      <c r="H172" s="389"/>
      <c r="I172" s="389"/>
      <c r="J172" s="389"/>
      <c r="K172" s="389"/>
      <c r="L172" s="389"/>
      <c r="M172" s="389"/>
      <c r="N172" s="389"/>
      <c r="O172" s="389"/>
      <c r="P172" s="177"/>
      <c r="Q172" s="177"/>
      <c r="T172" s="14"/>
      <c r="U172" s="1"/>
      <c r="V172" s="1"/>
      <c r="W172" s="1"/>
      <c r="X172" s="1"/>
      <c r="Y172" s="1"/>
      <c r="Z172" s="1"/>
      <c r="AA172" s="1"/>
      <c r="AB172" s="1"/>
      <c r="AC172" s="1"/>
      <c r="AD172" s="1"/>
      <c r="AE172" s="13"/>
    </row>
    <row r="173" spans="2:31">
      <c r="B173" s="5"/>
      <c r="C173" s="5"/>
      <c r="D173" s="389"/>
      <c r="E173" s="389"/>
      <c r="F173" s="389"/>
      <c r="G173" s="389"/>
      <c r="H173" s="389"/>
      <c r="I173" s="389"/>
      <c r="J173" s="389"/>
      <c r="K173" s="389"/>
      <c r="L173" s="389"/>
      <c r="M173" s="389"/>
      <c r="N173" s="389"/>
      <c r="O173" s="389"/>
      <c r="P173" s="177"/>
      <c r="Q173" s="177"/>
      <c r="T173" s="14"/>
      <c r="U173" s="1"/>
      <c r="V173" s="1"/>
      <c r="W173" s="1"/>
      <c r="X173" s="1"/>
      <c r="Y173" s="1"/>
      <c r="Z173" s="1"/>
      <c r="AA173" s="1"/>
      <c r="AB173" s="1"/>
      <c r="AC173" s="1"/>
      <c r="AD173" s="1"/>
      <c r="AE173" s="13"/>
    </row>
    <row r="174" spans="2:31">
      <c r="B174" s="533">
        <v>2021</v>
      </c>
      <c r="C174" s="533"/>
      <c r="D174" s="533"/>
      <c r="E174" s="533"/>
      <c r="F174" s="533"/>
      <c r="G174" s="533"/>
      <c r="H174" s="533"/>
      <c r="I174" s="533"/>
      <c r="J174" s="533"/>
      <c r="K174" s="533"/>
      <c r="L174" s="533"/>
      <c r="M174" s="533"/>
      <c r="N174" s="533"/>
      <c r="O174" s="533"/>
      <c r="P174" s="177"/>
      <c r="Q174" s="177"/>
      <c r="T174" s="14"/>
      <c r="U174" s="1"/>
      <c r="V174" s="1"/>
      <c r="W174" s="1"/>
      <c r="X174" s="1"/>
      <c r="Y174" s="1"/>
      <c r="Z174" s="1"/>
      <c r="AA174" s="1"/>
      <c r="AB174" s="1"/>
      <c r="AC174" s="1"/>
      <c r="AD174" s="1"/>
      <c r="AE174" s="13"/>
    </row>
    <row r="175" spans="2:31" ht="15.75" thickBot="1">
      <c r="B175" s="534"/>
      <c r="C175" s="534"/>
      <c r="D175" s="534"/>
      <c r="E175" s="534"/>
      <c r="F175" s="534"/>
      <c r="G175" s="534"/>
      <c r="H175" s="534"/>
      <c r="I175" s="534"/>
      <c r="J175" s="534"/>
      <c r="K175" s="534"/>
      <c r="L175" s="534"/>
      <c r="M175" s="534"/>
      <c r="N175" s="534"/>
      <c r="O175" s="534"/>
      <c r="P175" s="177"/>
      <c r="Q175" s="177"/>
      <c r="T175" s="16"/>
      <c r="U175" s="11"/>
      <c r="V175" s="11"/>
      <c r="W175" s="11"/>
      <c r="X175" s="11"/>
      <c r="Y175" s="11"/>
      <c r="Z175" s="11"/>
      <c r="AA175" s="11"/>
      <c r="AB175" s="11"/>
      <c r="AC175" s="11"/>
      <c r="AD175" s="11"/>
      <c r="AE175" s="12"/>
    </row>
    <row r="176" spans="2:31">
      <c r="D176" s="177"/>
      <c r="E176" s="177"/>
      <c r="F176" s="177"/>
      <c r="G176" s="177"/>
      <c r="H176" s="177"/>
      <c r="I176" s="177"/>
      <c r="J176" s="177"/>
      <c r="K176" s="177"/>
      <c r="L176" s="177"/>
      <c r="M176" s="177"/>
      <c r="N176" s="177"/>
      <c r="O176" s="177"/>
      <c r="P176" s="175"/>
      <c r="Q176" s="175"/>
      <c r="T176" s="14"/>
      <c r="U176" s="1"/>
      <c r="V176" s="1"/>
      <c r="W176" s="1"/>
      <c r="X176" s="1"/>
      <c r="Y176" s="1"/>
      <c r="Z176" s="1"/>
      <c r="AA176" s="1"/>
      <c r="AB176" s="1"/>
      <c r="AC176" s="1"/>
      <c r="AD176" s="1"/>
      <c r="AE176" s="13"/>
    </row>
    <row r="177" spans="2:31">
      <c r="D177" s="177"/>
      <c r="E177" s="177"/>
      <c r="F177" s="177"/>
      <c r="G177" s="177"/>
      <c r="H177" s="177"/>
      <c r="I177" s="177"/>
      <c r="J177" s="177"/>
      <c r="K177" s="177"/>
      <c r="L177" s="177"/>
      <c r="M177" s="177"/>
      <c r="N177" s="177"/>
      <c r="O177" s="177"/>
      <c r="P177" s="175"/>
      <c r="Q177" s="175"/>
      <c r="T177" s="25"/>
      <c r="U177" s="490" t="s">
        <v>20</v>
      </c>
      <c r="V177" s="490"/>
      <c r="W177" s="490"/>
      <c r="X177" s="1"/>
      <c r="Y177" s="390" t="s">
        <v>6</v>
      </c>
      <c r="Z177" s="390"/>
      <c r="AA177" s="390"/>
      <c r="AB177" s="390" t="s">
        <v>23</v>
      </c>
      <c r="AC177" s="390"/>
      <c r="AD177" s="390"/>
      <c r="AE177" s="26" t="s">
        <v>24</v>
      </c>
    </row>
    <row r="178" spans="2:31" ht="16.5" thickBot="1">
      <c r="B178" s="220"/>
      <c r="C178" s="488" t="s">
        <v>119</v>
      </c>
      <c r="D178" s="488"/>
      <c r="E178" s="488"/>
      <c r="F178" s="488"/>
      <c r="G178" s="488"/>
      <c r="H178" s="488"/>
      <c r="I178" s="221"/>
      <c r="J178" s="221"/>
      <c r="K178" s="221"/>
      <c r="L178" s="221"/>
      <c r="M178" s="221"/>
      <c r="N178" s="221"/>
      <c r="O178" s="221"/>
      <c r="T178" s="25"/>
      <c r="U178" s="390"/>
      <c r="V178" s="390"/>
      <c r="W178" s="390"/>
      <c r="X178" s="1"/>
      <c r="Y178" s="390"/>
      <c r="Z178" s="390"/>
      <c r="AA178" s="390"/>
      <c r="AB178" s="390"/>
      <c r="AC178" s="390"/>
      <c r="AD178" s="390"/>
      <c r="AE178" s="26"/>
    </row>
    <row r="179" spans="2:31" ht="15" customHeight="1">
      <c r="B179" s="63"/>
      <c r="C179" s="24"/>
      <c r="D179" s="24"/>
      <c r="E179" s="24"/>
      <c r="F179" s="24"/>
      <c r="G179" s="24"/>
      <c r="H179" s="63"/>
      <c r="I179" s="1"/>
      <c r="J179" s="1"/>
      <c r="K179" s="1"/>
      <c r="L179" s="1"/>
      <c r="M179" s="1"/>
      <c r="N179" s="1"/>
      <c r="O179" s="1"/>
      <c r="T179" s="491" t="s">
        <v>121</v>
      </c>
      <c r="U179" s="490"/>
      <c r="V179" s="490"/>
      <c r="W179" s="490"/>
      <c r="X179" s="1"/>
      <c r="Y179" s="7">
        <f>'Mon Entreprise'!I122</f>
        <v>0</v>
      </c>
      <c r="Z179" s="133"/>
      <c r="AA179" s="21"/>
      <c r="AB179" s="7">
        <f>IF('Mon Entreprise'!I122-'Mon Entreprise'!M122&lt;0,0,'Mon Entreprise'!I122-'Mon Entreprise'!M122)</f>
        <v>0</v>
      </c>
      <c r="AC179" s="13"/>
      <c r="AD179" s="1"/>
      <c r="AE179" s="27">
        <f>IFERROR(1-'Mon Entreprise'!M122/'Mon Entreprise'!I122,0)</f>
        <v>0</v>
      </c>
    </row>
    <row r="180" spans="2:31" ht="15" customHeight="1">
      <c r="B180" s="103"/>
      <c r="C180" s="489" t="s">
        <v>122</v>
      </c>
      <c r="D180" s="489"/>
      <c r="E180" s="489"/>
      <c r="F180" s="489"/>
      <c r="G180" s="489"/>
      <c r="H180" s="489"/>
      <c r="I180" s="489"/>
      <c r="J180" s="489"/>
      <c r="K180" s="489"/>
      <c r="L180" s="489"/>
      <c r="M180" s="489"/>
      <c r="N180" s="489"/>
      <c r="O180" s="489"/>
      <c r="P180" s="1"/>
      <c r="T180" s="491" t="s">
        <v>25</v>
      </c>
      <c r="U180" s="490"/>
      <c r="V180" s="490"/>
      <c r="W180" s="490"/>
      <c r="X180" s="1"/>
      <c r="Y180" s="7">
        <f>'Mon Entreprise'!I98</f>
        <v>0</v>
      </c>
      <c r="Z180" s="133"/>
      <c r="AA180" s="21"/>
      <c r="AB180" s="7">
        <f>IF('Mon Entreprise'!I98-'Mon Entreprise'!M122&lt;0,0,'Mon Entreprise'!I98-'Mon Entreprise'!M122)</f>
        <v>0</v>
      </c>
      <c r="AC180" s="36"/>
      <c r="AD180" s="1"/>
      <c r="AE180" s="27">
        <f>IFERROR(1-'Mon Entreprise'!M122/'Mon Entreprise'!I98,0)</f>
        <v>0</v>
      </c>
    </row>
    <row r="181" spans="2:31" ht="15.75" customHeight="1">
      <c r="B181" s="103"/>
      <c r="C181" s="387"/>
      <c r="D181" s="60" t="s">
        <v>123</v>
      </c>
      <c r="E181" s="387"/>
      <c r="F181" s="387"/>
      <c r="G181" s="387"/>
      <c r="H181" s="387"/>
      <c r="I181" s="387"/>
      <c r="J181" s="387"/>
      <c r="K181" s="387"/>
      <c r="L181" s="387"/>
      <c r="M181" s="387"/>
      <c r="N181" s="387"/>
      <c r="O181" s="387"/>
      <c r="P181" s="1"/>
      <c r="T181" s="501" t="s">
        <v>22</v>
      </c>
      <c r="U181" s="502"/>
      <c r="V181" s="502"/>
      <c r="W181" s="502"/>
      <c r="X181" s="139"/>
      <c r="Y181" s="140" t="str">
        <f>IF('Mon Entreprise'!I162="","NC",'Mon Entreprise'!I162)</f>
        <v>NC</v>
      </c>
      <c r="Z181" s="191"/>
      <c r="AA181" s="192"/>
      <c r="AB181" s="143" t="str">
        <f>IFERROR(IF('Mon Entreprise'!I162-'Mon Entreprise'!M122&lt;0,0,'Mon Entreprise'!I162-'Mon Entreprise'!M122),"NC")</f>
        <v>NC</v>
      </c>
      <c r="AC181" s="193"/>
      <c r="AD181" s="139"/>
      <c r="AE181" s="146" t="str">
        <f>IFERROR(1-'Mon Entreprise'!M122/'Mon Entreprise'!I162,"NC")</f>
        <v>NC</v>
      </c>
    </row>
    <row r="182" spans="2:31" ht="16.5" hidden="1" thickBot="1">
      <c r="B182" s="103"/>
      <c r="C182" s="387"/>
      <c r="D182" s="60"/>
      <c r="E182" s="387"/>
      <c r="F182" s="387"/>
      <c r="G182" s="387"/>
      <c r="H182" s="387"/>
      <c r="I182" s="387"/>
      <c r="J182" s="387"/>
      <c r="K182" s="387"/>
      <c r="L182" s="387"/>
      <c r="M182" s="387"/>
      <c r="N182" s="387"/>
      <c r="O182" s="387"/>
      <c r="P182" s="1"/>
      <c r="T182" s="14"/>
      <c r="U182" s="1"/>
      <c r="V182" s="1"/>
      <c r="W182" s="1"/>
      <c r="X182" s="1"/>
      <c r="Y182" s="1"/>
      <c r="Z182" s="1"/>
      <c r="AA182" s="1"/>
      <c r="AB182" s="1"/>
      <c r="AC182" s="1"/>
      <c r="AD182" s="1"/>
      <c r="AE182" s="13"/>
    </row>
    <row r="183" spans="2:31" ht="15.75" hidden="1">
      <c r="B183" s="103"/>
      <c r="C183" s="387"/>
      <c r="D183" s="492" t="str">
        <f>IFERROR(IF(AND(AB214=0,AB215=0,AB216=0),"Vous ne pouvez pas bénéficier du fonds de solidarité pour le mois de Janvier 2021",IF(AND(AB216&gt;AB215,AB216&gt;AB214),"Votre entreprise peut bénéficier d'une aide de "&amp;AB216&amp;" €, au titre d'une fermeture Administrative, ou d'une perte d'au moins 50 % ou 70 % du CA pour les activités mentionnées en annexe 1, ou d'une perte d'au moins 70 % du CA pour les activités mentionnées en annexe 2 ou 3",IF(AB215&gt;AB214,"Votre entreprise peut bénéficier d'une aide de "&amp;AB215&amp;" €, au titre d'une fermeture Administrative, ou d'une perte d'au moins 50 % du CA pour les activités mentionnées en annexe 1, ou en annexe 2 ou 3 ayant une perte de CA d'au moins 80 % entre le 15/03/2020 et le 15/05/2020, au moins de Novembre 2020 "&amp;"ou 10 % de perte entre 2019 et 2020","Votre entreprise peut bénéficier d'une aide de "&amp;AB214&amp;" €, au titre d'une perte d'au-moins 50 % de votre CA en Janvier 2021"))),"Vous n'avez pas indiqué de chiffre d'affaires de référence")</f>
        <v>Vous ne pouvez pas bénéficier du fonds de solidarité pour le mois de Janvier 2021</v>
      </c>
      <c r="E183" s="493"/>
      <c r="F183" s="493"/>
      <c r="G183" s="493"/>
      <c r="H183" s="493"/>
      <c r="I183" s="493"/>
      <c r="J183" s="493"/>
      <c r="K183" s="493"/>
      <c r="L183" s="493"/>
      <c r="M183" s="493"/>
      <c r="N183" s="493"/>
      <c r="O183" s="494"/>
      <c r="P183" s="1"/>
      <c r="T183" s="14"/>
      <c r="AC183" s="1"/>
      <c r="AD183" s="1"/>
      <c r="AE183" s="13"/>
    </row>
    <row r="184" spans="2:31" ht="15.75" hidden="1" customHeight="1">
      <c r="B184" s="103"/>
      <c r="C184" s="387"/>
      <c r="D184" s="495"/>
      <c r="E184" s="496"/>
      <c r="F184" s="496"/>
      <c r="G184" s="496"/>
      <c r="H184" s="496"/>
      <c r="I184" s="496"/>
      <c r="J184" s="496"/>
      <c r="K184" s="496"/>
      <c r="L184" s="496"/>
      <c r="M184" s="496"/>
      <c r="N184" s="496"/>
      <c r="O184" s="497"/>
      <c r="P184" s="1"/>
      <c r="T184" s="14"/>
      <c r="AC184" s="1"/>
      <c r="AD184" s="1"/>
      <c r="AE184" s="13"/>
    </row>
    <row r="185" spans="2:31" ht="15.75" hidden="1" customHeight="1">
      <c r="B185" s="103"/>
      <c r="C185" s="387"/>
      <c r="D185" s="495"/>
      <c r="E185" s="496"/>
      <c r="F185" s="496"/>
      <c r="G185" s="496"/>
      <c r="H185" s="496"/>
      <c r="I185" s="496"/>
      <c r="J185" s="496"/>
      <c r="K185" s="496"/>
      <c r="L185" s="496"/>
      <c r="M185" s="496"/>
      <c r="N185" s="496"/>
      <c r="O185" s="497"/>
      <c r="P185" s="1"/>
      <c r="T185" s="14"/>
      <c r="AC185" s="1"/>
      <c r="AD185" s="1"/>
      <c r="AE185" s="13"/>
    </row>
    <row r="186" spans="2:31" ht="15.75" hidden="1" customHeight="1">
      <c r="B186" s="103"/>
      <c r="C186" s="387"/>
      <c r="D186" s="495"/>
      <c r="E186" s="496"/>
      <c r="F186" s="496"/>
      <c r="G186" s="496"/>
      <c r="H186" s="496"/>
      <c r="I186" s="496"/>
      <c r="J186" s="496"/>
      <c r="K186" s="496"/>
      <c r="L186" s="496"/>
      <c r="M186" s="496"/>
      <c r="N186" s="496"/>
      <c r="O186" s="497"/>
      <c r="P186" s="1"/>
      <c r="T186" s="14"/>
      <c r="U186" s="1"/>
      <c r="V186" s="1"/>
      <c r="W186" s="1"/>
      <c r="X186" s="1"/>
      <c r="Y186" s="1"/>
      <c r="Z186" s="1"/>
      <c r="AA186" s="1"/>
      <c r="AB186" s="1"/>
      <c r="AC186" s="1"/>
      <c r="AD186" s="1"/>
      <c r="AE186" s="13"/>
    </row>
    <row r="187" spans="2:31" ht="15.75" hidden="1" customHeight="1" thickBot="1">
      <c r="B187" s="103"/>
      <c r="C187" s="387"/>
      <c r="D187" s="498"/>
      <c r="E187" s="499"/>
      <c r="F187" s="499"/>
      <c r="G187" s="499"/>
      <c r="H187" s="499"/>
      <c r="I187" s="499"/>
      <c r="J187" s="499"/>
      <c r="K187" s="499"/>
      <c r="L187" s="499"/>
      <c r="M187" s="499"/>
      <c r="N187" s="499"/>
      <c r="O187" s="500"/>
      <c r="P187" s="1"/>
      <c r="T187" s="14"/>
      <c r="U187" s="506" t="s">
        <v>72</v>
      </c>
      <c r="V187" s="506"/>
      <c r="W187" s="506"/>
      <c r="X187" s="506"/>
      <c r="Y187" s="506"/>
      <c r="Z187" s="1"/>
      <c r="AA187" s="14"/>
      <c r="AB187" s="385" t="str">
        <f>IF('Mon Entreprise'!K8&lt;=Annexes!Q26,"Oui","Non")</f>
        <v>Oui</v>
      </c>
      <c r="AC187" s="1"/>
      <c r="AD187" s="1"/>
      <c r="AE187" s="13"/>
    </row>
    <row r="188" spans="2:31" ht="16.5" hidden="1" customHeight="1">
      <c r="B188" s="103"/>
      <c r="C188" s="387"/>
      <c r="D188" s="60"/>
      <c r="E188" s="387"/>
      <c r="F188" s="387"/>
      <c r="G188" s="387"/>
      <c r="H188" s="387"/>
      <c r="I188" s="387"/>
      <c r="J188" s="387"/>
      <c r="K188" s="387"/>
      <c r="L188" s="387"/>
      <c r="M188" s="387"/>
      <c r="N188" s="387"/>
      <c r="O188" s="387"/>
      <c r="P188" s="1"/>
      <c r="T188" s="14"/>
      <c r="U188" s="386"/>
      <c r="V188" s="506" t="s">
        <v>393</v>
      </c>
      <c r="W188" s="506"/>
      <c r="X188" s="506"/>
      <c r="Y188" s="506"/>
      <c r="Z188" s="1"/>
      <c r="AA188" s="14"/>
      <c r="AB188" s="385">
        <f>IF('Mon Entreprise'!K8&gt;=Annexes!O20,IF(Y179&gt;=Y181,Y179,Y181),IF(Y179&gt;=Y180,Y179,Y180))</f>
        <v>0</v>
      </c>
      <c r="AC188" s="1"/>
      <c r="AD188" s="1"/>
      <c r="AE188" s="13"/>
    </row>
    <row r="189" spans="2:31" ht="15.75">
      <c r="B189" s="103"/>
      <c r="C189" s="78"/>
      <c r="D189" s="78"/>
      <c r="E189" s="78"/>
      <c r="F189" s="78"/>
      <c r="G189" s="78"/>
      <c r="H189" s="78"/>
      <c r="I189" s="78"/>
      <c r="J189" s="78"/>
      <c r="K189" s="78"/>
      <c r="L189" s="78"/>
      <c r="M189" s="78"/>
      <c r="N189" s="78"/>
      <c r="O189" s="78"/>
      <c r="P189" s="1"/>
      <c r="T189" s="14"/>
      <c r="U189" s="506" t="s">
        <v>84</v>
      </c>
      <c r="V189" s="506"/>
      <c r="W189" s="506"/>
      <c r="X189" s="506"/>
      <c r="Y189" s="506"/>
      <c r="Z189" s="1"/>
      <c r="AA189" s="14"/>
      <c r="AB189" s="381">
        <f>IF('Mon Entreprise'!K8&gt;=Annexes!O20,IF(AB179&gt;=AB181,AB179,AB181),IF(AB179&gt;=AB180,AB179,AB180))</f>
        <v>0</v>
      </c>
      <c r="AC189" s="1"/>
      <c r="AD189" s="1"/>
      <c r="AE189" s="13"/>
    </row>
    <row r="190" spans="2:31" ht="15.75">
      <c r="B190" s="103"/>
      <c r="C190" s="387"/>
      <c r="D190" s="60"/>
      <c r="E190" s="387"/>
      <c r="F190" s="387"/>
      <c r="G190" s="387"/>
      <c r="H190" s="387"/>
      <c r="I190" s="387"/>
      <c r="J190" s="387"/>
      <c r="K190" s="387"/>
      <c r="L190" s="387"/>
      <c r="M190" s="387"/>
      <c r="N190" s="387"/>
      <c r="O190" s="387"/>
      <c r="P190" s="1"/>
      <c r="T190" s="14"/>
      <c r="U190" s="506" t="s">
        <v>85</v>
      </c>
      <c r="V190" s="506"/>
      <c r="W190" s="506"/>
      <c r="X190" s="506"/>
      <c r="Y190" s="506"/>
      <c r="Z190" s="1"/>
      <c r="AA190" s="14"/>
      <c r="AB190" s="19">
        <f>IF('Mon Entreprise'!K8&gt;=Annexes!O20,IF(AB179&gt;=AB181,AE179,AE181),IF(AB179&gt;=AB180,AE179,AE180))</f>
        <v>0</v>
      </c>
      <c r="AC190" s="1"/>
      <c r="AD190" s="1"/>
      <c r="AE190" s="13"/>
    </row>
    <row r="191" spans="2:31" ht="15.75">
      <c r="B191" s="103"/>
      <c r="C191" s="387" t="s">
        <v>120</v>
      </c>
      <c r="D191" s="60"/>
      <c r="E191" s="387"/>
      <c r="F191" s="387"/>
      <c r="G191" s="387"/>
      <c r="H191" s="387"/>
      <c r="I191" s="387"/>
      <c r="J191" s="387"/>
      <c r="K191" s="387"/>
      <c r="L191" s="387"/>
      <c r="M191" s="387"/>
      <c r="N191" s="387"/>
      <c r="O191" s="387"/>
      <c r="P191" s="1"/>
      <c r="T191" s="14"/>
      <c r="U191" s="1"/>
      <c r="V191" s="1"/>
      <c r="W191" s="1"/>
      <c r="X191" s="1"/>
      <c r="Y191" s="1"/>
      <c r="Z191" s="1"/>
      <c r="AA191" s="1"/>
      <c r="AB191" s="1"/>
      <c r="AC191" s="1"/>
      <c r="AD191" s="1"/>
      <c r="AE191" s="13"/>
    </row>
    <row r="192" spans="2:31" ht="15.75">
      <c r="B192" s="168"/>
      <c r="C192" s="387"/>
      <c r="D192" s="60" t="str">
        <f>IFERROR(IF('Mon Entreprise'!K8&gt;=Annexes!O20,IF(AB179&gt;=AB181,"Le CA de référence est celui de Janvier 2019, soit une perte de "&amp;ROUND(AB179,0)&amp;" €"&amp;" ==&gt; "&amp;ROUND(AE179*100,0)&amp;" %","Le CA de référence est celui de la création, soit une perte de "&amp;ROUND(AB181,0)&amp;" €"&amp;" ==&gt; "&amp;ROUND(AE181*100,0)&amp;" %"),IF(AB179&gt;=AB180,"Le CA de référence est celui de Janvier 2019, soit une perte de "&amp;ROUND(AB179,0)&amp;" €"&amp;" ==&gt; "&amp;ROUND(AE179*100,0)&amp;" %","Le CA de référence est celui de de l'exercice 2019, soit une perte de "&amp;ROUND(AB180,0)&amp;" €"&amp;" ==&gt; "&amp;ROUND(AE180*100,0)&amp;" %")),"")</f>
        <v>Le CA de référence est celui de Janvier 2019, soit une perte de 0 € ==&gt; 0 %</v>
      </c>
      <c r="E192" s="387"/>
      <c r="F192" s="387"/>
      <c r="G192" s="387"/>
      <c r="H192" s="387"/>
      <c r="I192" s="387"/>
      <c r="J192" s="387"/>
      <c r="K192" s="387"/>
      <c r="L192" s="387"/>
      <c r="M192" s="387"/>
      <c r="N192" s="387"/>
      <c r="O192" s="387"/>
      <c r="P192" s="1"/>
      <c r="T192" s="14"/>
      <c r="U192" s="1"/>
      <c r="V192" s="1"/>
      <c r="W192" s="1"/>
      <c r="X192" s="1"/>
      <c r="Y192" s="1"/>
      <c r="Z192" s="1"/>
      <c r="AA192" s="1"/>
      <c r="AB192" s="1"/>
      <c r="AC192" s="1"/>
      <c r="AD192" s="1"/>
      <c r="AE192" s="13"/>
    </row>
    <row r="193" spans="1:31" ht="16.5" thickBot="1">
      <c r="B193" s="103"/>
      <c r="C193" s="387"/>
      <c r="D193" s="60"/>
      <c r="E193" s="387"/>
      <c r="F193" s="387"/>
      <c r="G193" s="387"/>
      <c r="H193" s="387"/>
      <c r="I193" s="387"/>
      <c r="J193" s="387"/>
      <c r="K193" s="387"/>
      <c r="L193" s="387"/>
      <c r="M193" s="387"/>
      <c r="N193" s="387"/>
      <c r="O193" s="387"/>
      <c r="P193" s="1"/>
      <c r="T193" s="14"/>
      <c r="U193" s="1"/>
      <c r="V193" s="1"/>
      <c r="W193" s="1"/>
      <c r="X193" s="1"/>
      <c r="Y193" s="1"/>
      <c r="Z193" s="1"/>
      <c r="AA193" s="1"/>
      <c r="AB193" s="1"/>
      <c r="AC193" s="1"/>
      <c r="AD193" s="1"/>
      <c r="AE193" s="13"/>
    </row>
    <row r="194" spans="1:31" ht="15.75">
      <c r="B194" s="168"/>
      <c r="C194" s="387"/>
      <c r="D194" s="508" t="str">
        <f>IFERROR(IF(AB187="Non","Vous avez débuté votre activité après le 31 Octobre 2020, vous ne pouvez donc pas bénéficier de cette aide",IF(AB190&gt;=0.5,IF(AB189&gt;Annexes!O5,"Dans votre cas, l'aide est Plafonnée, à "&amp;Annexes!O5&amp;" € pour le mois de Janvier","Vous pouvez bénéficier, au titre de cette aide, d'un montant de "&amp;ROUND(AB189,0)&amp;" € pour le mois de Janvier"),"L'entreprise n'a pas une perte d'au moins 50 % en Janvier 2021")),"Vous n'avez pas indiqué de chiffre d'affaires de référence")</f>
        <v>L'entreprise n'a pas une perte d'au moins 50 % en Janvier 2021</v>
      </c>
      <c r="E194" s="509"/>
      <c r="F194" s="509"/>
      <c r="G194" s="509"/>
      <c r="H194" s="509"/>
      <c r="I194" s="509"/>
      <c r="J194" s="509"/>
      <c r="K194" s="509"/>
      <c r="L194" s="509"/>
      <c r="M194" s="509"/>
      <c r="N194" s="509"/>
      <c r="O194" s="510"/>
      <c r="P194" s="1"/>
      <c r="T194" s="14"/>
      <c r="U194" s="1"/>
      <c r="V194" s="1"/>
      <c r="W194" s="1"/>
      <c r="X194" s="1"/>
      <c r="Y194" s="1"/>
      <c r="Z194" s="1"/>
      <c r="AA194" s="1"/>
      <c r="AB194" s="1"/>
      <c r="AC194" s="1"/>
      <c r="AD194" s="1"/>
      <c r="AE194" s="13"/>
    </row>
    <row r="195" spans="1:31" ht="15.75" customHeight="1">
      <c r="B195" s="168"/>
      <c r="C195" s="387"/>
      <c r="D195" s="511"/>
      <c r="E195" s="512"/>
      <c r="F195" s="512"/>
      <c r="G195" s="512"/>
      <c r="H195" s="512"/>
      <c r="I195" s="512"/>
      <c r="J195" s="512"/>
      <c r="K195" s="512"/>
      <c r="L195" s="512"/>
      <c r="M195" s="512"/>
      <c r="N195" s="512"/>
      <c r="O195" s="513"/>
      <c r="P195" s="1"/>
      <c r="T195" s="14"/>
      <c r="U195" s="1"/>
      <c r="V195" s="1"/>
      <c r="W195" s="1"/>
      <c r="X195" s="1"/>
      <c r="Y195" s="1"/>
      <c r="Z195" s="1"/>
      <c r="AA195" s="1"/>
      <c r="AB195" s="1"/>
      <c r="AC195" s="1"/>
      <c r="AD195" s="1"/>
      <c r="AE195" s="13"/>
    </row>
    <row r="196" spans="1:31" ht="15.75" customHeight="1">
      <c r="B196" s="103"/>
      <c r="C196" s="387"/>
      <c r="D196" s="511"/>
      <c r="E196" s="512"/>
      <c r="F196" s="512"/>
      <c r="G196" s="512"/>
      <c r="H196" s="512"/>
      <c r="I196" s="512"/>
      <c r="J196" s="512"/>
      <c r="K196" s="512"/>
      <c r="L196" s="512"/>
      <c r="M196" s="512"/>
      <c r="N196" s="512"/>
      <c r="O196" s="513"/>
      <c r="P196" s="1"/>
      <c r="T196" s="518" t="s">
        <v>4</v>
      </c>
      <c r="U196" s="519"/>
      <c r="V196" s="519"/>
      <c r="W196" s="519"/>
      <c r="X196" s="519"/>
      <c r="Y196" s="519"/>
      <c r="Z196" s="139"/>
      <c r="AA196" s="145"/>
      <c r="AB196" s="194">
        <f>IFERROR(IF('Mon Entreprise'!K8&gt;=Annexes!Q18,0,1-'Mon Entreprise'!M118/2/AB188),0)</f>
        <v>0</v>
      </c>
      <c r="AC196" s="1"/>
      <c r="AD196" s="1"/>
      <c r="AE196" s="13"/>
    </row>
    <row r="197" spans="1:31" ht="15.75" customHeight="1" thickBot="1">
      <c r="B197" s="103"/>
      <c r="C197" s="387"/>
      <c r="D197" s="514"/>
      <c r="E197" s="515"/>
      <c r="F197" s="515"/>
      <c r="G197" s="515"/>
      <c r="H197" s="515"/>
      <c r="I197" s="515"/>
      <c r="J197" s="515"/>
      <c r="K197" s="515"/>
      <c r="L197" s="515"/>
      <c r="M197" s="515"/>
      <c r="N197" s="515"/>
      <c r="O197" s="516"/>
      <c r="P197" s="1"/>
      <c r="T197" s="110"/>
      <c r="U197" s="520" t="s">
        <v>102</v>
      </c>
      <c r="V197" s="520"/>
      <c r="W197" s="520"/>
      <c r="X197" s="520"/>
      <c r="Y197" s="520"/>
      <c r="Z197" s="139"/>
      <c r="AA197" s="145"/>
      <c r="AB197" s="194">
        <f>IFERROR(IF('Mon Entreprise'!K8&gt;Annexes!Q26,0,1-'Mon Entreprise'!M114/AB188),0)</f>
        <v>0</v>
      </c>
      <c r="AC197" s="1"/>
      <c r="AD197" s="1"/>
      <c r="AE197" s="13"/>
    </row>
    <row r="198" spans="1:31" ht="16.5" customHeight="1">
      <c r="B198" s="103"/>
      <c r="C198" s="169"/>
      <c r="D198" s="170"/>
      <c r="E198" s="170"/>
      <c r="F198" s="170"/>
      <c r="G198" s="170"/>
      <c r="H198" s="170"/>
      <c r="I198" s="170"/>
      <c r="J198" s="170"/>
      <c r="K198" s="170"/>
      <c r="L198" s="170"/>
      <c r="M198" s="170"/>
      <c r="N198" s="170"/>
      <c r="O198" s="170"/>
      <c r="P198" s="1"/>
      <c r="T198" s="110"/>
      <c r="U198" s="520" t="s">
        <v>109</v>
      </c>
      <c r="V198" s="520"/>
      <c r="W198" s="520"/>
      <c r="X198" s="520"/>
      <c r="Y198" s="520"/>
      <c r="Z198" s="139"/>
      <c r="AA198" s="145"/>
      <c r="AB198" s="194">
        <f>IFERROR(IF(Annexes!O27&gt;'Mon Entreprise'!K8,1-'Mon Entreprise'!M98/'Mon Entreprise'!I98,0),0)</f>
        <v>0</v>
      </c>
      <c r="AC198" s="1"/>
      <c r="AD198" s="1"/>
      <c r="AE198" s="13"/>
    </row>
    <row r="199" spans="1:31" ht="16.5" customHeight="1">
      <c r="B199" s="103"/>
      <c r="C199" s="387"/>
      <c r="D199" s="306"/>
      <c r="E199" s="306"/>
      <c r="F199" s="306"/>
      <c r="G199" s="306"/>
      <c r="H199" s="306"/>
      <c r="I199" s="306"/>
      <c r="J199" s="306"/>
      <c r="K199" s="306"/>
      <c r="L199" s="306"/>
      <c r="M199" s="306"/>
      <c r="N199" s="306"/>
      <c r="O199" s="306"/>
      <c r="P199" s="1"/>
      <c r="T199" s="14"/>
      <c r="U199" s="521" t="s">
        <v>8</v>
      </c>
      <c r="V199" s="521"/>
      <c r="W199" s="521"/>
      <c r="X199" s="521"/>
      <c r="Y199" s="521"/>
      <c r="Z199" s="1"/>
      <c r="AA199" s="14"/>
      <c r="AB199" s="381" t="str">
        <f>IF((AND(Annexes!F5&gt;1,Annexes!F5&lt;=Annexes!H6)),"OUI","NON")</f>
        <v>NON</v>
      </c>
      <c r="AC199" s="1"/>
      <c r="AD199" s="1"/>
      <c r="AE199" s="13"/>
    </row>
    <row r="200" spans="1:31" ht="16.5" customHeight="1">
      <c r="B200" s="103"/>
      <c r="C200" s="505" t="s">
        <v>112</v>
      </c>
      <c r="D200" s="505"/>
      <c r="E200" s="505"/>
      <c r="F200" s="505"/>
      <c r="G200" s="505"/>
      <c r="H200" s="505"/>
      <c r="I200" s="505"/>
      <c r="J200" s="505"/>
      <c r="K200" s="505"/>
      <c r="L200" s="505"/>
      <c r="M200" s="505"/>
      <c r="N200" s="505"/>
      <c r="O200" s="505"/>
      <c r="P200" s="1"/>
      <c r="T200" s="14"/>
      <c r="U200" s="383"/>
      <c r="V200" s="383"/>
      <c r="W200" s="383"/>
      <c r="X200" s="383"/>
      <c r="Y200" s="383" t="s">
        <v>9</v>
      </c>
      <c r="Z200" s="1"/>
      <c r="AA200" s="14"/>
      <c r="AB200" s="381" t="str">
        <f>IF(AND(Annexes!F7&gt;1,Annexes!F7&lt;=Annexes!H8),"OUI","NON")</f>
        <v>NON</v>
      </c>
      <c r="AC200" s="1"/>
      <c r="AD200" s="1"/>
      <c r="AE200" s="13"/>
    </row>
    <row r="201" spans="1:31" ht="16.5" customHeight="1">
      <c r="B201" s="103"/>
      <c r="C201" s="505"/>
      <c r="D201" s="505"/>
      <c r="E201" s="505"/>
      <c r="F201" s="505"/>
      <c r="G201" s="505"/>
      <c r="H201" s="505"/>
      <c r="I201" s="505"/>
      <c r="J201" s="505"/>
      <c r="K201" s="505"/>
      <c r="L201" s="505"/>
      <c r="M201" s="505"/>
      <c r="N201" s="505"/>
      <c r="O201" s="505"/>
      <c r="P201" s="1"/>
      <c r="T201" s="491" t="s">
        <v>305</v>
      </c>
      <c r="U201" s="490"/>
      <c r="V201" s="490"/>
      <c r="W201" s="490"/>
      <c r="X201" s="490"/>
      <c r="Y201" s="490"/>
      <c r="Z201" s="1"/>
      <c r="AA201" s="14"/>
      <c r="AB201" s="381" t="str">
        <f>IF(Annexes!M17=TRUE,"OUI","NON")</f>
        <v>NON</v>
      </c>
      <c r="AC201" s="1"/>
      <c r="AD201" s="1"/>
      <c r="AE201" s="13"/>
    </row>
    <row r="202" spans="1:31" ht="16.5" customHeight="1">
      <c r="B202" s="103"/>
      <c r="C202" s="505"/>
      <c r="D202" s="505"/>
      <c r="E202" s="505"/>
      <c r="F202" s="505"/>
      <c r="G202" s="505"/>
      <c r="H202" s="505"/>
      <c r="I202" s="505"/>
      <c r="J202" s="505"/>
      <c r="K202" s="505"/>
      <c r="L202" s="505"/>
      <c r="M202" s="505"/>
      <c r="N202" s="505"/>
      <c r="O202" s="505"/>
      <c r="P202" s="1"/>
      <c r="T202" s="14"/>
      <c r="U202" s="490" t="s">
        <v>12</v>
      </c>
      <c r="V202" s="490"/>
      <c r="W202" s="490"/>
      <c r="X202" s="490"/>
      <c r="Y202" s="490"/>
      <c r="Z202" s="1"/>
      <c r="AA202" s="14"/>
      <c r="AB202" s="381" t="b">
        <f>Annexes!M19</f>
        <v>0</v>
      </c>
      <c r="AC202" s="1"/>
      <c r="AD202" s="1"/>
      <c r="AE202" s="13"/>
    </row>
    <row r="203" spans="1:31" ht="16.5" customHeight="1">
      <c r="B203" s="103"/>
      <c r="C203" s="387"/>
      <c r="D203" s="306"/>
      <c r="E203" s="417" t="str">
        <f>IF('Mon Entreprise'!K8&gt;Annexes!Q24,"",IF(OR(AB199="OUI",AND(OR(AB201="OUI",AB200="OUI"),OR(AB196&gt;=Annexes!P5,AB197&gt;=Annexes!P5,'Mes Aides'!AB145&gt;=0.1)),AB202=TRUE),"",IF(AND(OR(AB201="OUI",AB200="OUI"),OR(AB196&lt;Annexes!P5,AB197&lt;Annexes!P5,'Mes Aides'!AB198&lt;0.1)),"L'entreprise fait partie des entreprises mentionnées en annexe 2 ou 3 du décret mais n'a pas eu une perte de CA d'au-Moins 80 %, entre le 15/03/2020 et le 15/05/2020 ou Novembre 2020 ou 10 % entre 2019 et 2020","L'entreprise ne fait pas partie des entreprises ayant une fermeture administrative et ne fait pas partie des activités mentionnées aux annexes 1, 2 et 3 du décret ayant une perte significative")))</f>
        <v>L'entreprise ne fait pas partie des entreprises ayant une fermeture administrative et ne fait pas partie des activités mentionnées aux annexes 1, 2 et 3 du décret ayant une perte significative</v>
      </c>
      <c r="F203" s="417"/>
      <c r="G203" s="417"/>
      <c r="H203" s="417"/>
      <c r="I203" s="417"/>
      <c r="J203" s="417"/>
      <c r="K203" s="417"/>
      <c r="L203" s="417"/>
      <c r="M203" s="417"/>
      <c r="N203" s="417"/>
      <c r="O203" s="417"/>
      <c r="P203" s="1"/>
      <c r="T203" s="14"/>
      <c r="U203" s="525" t="s">
        <v>72</v>
      </c>
      <c r="V203" s="525"/>
      <c r="W203" s="525"/>
      <c r="X203" s="525"/>
      <c r="Y203" s="525"/>
      <c r="Z203" s="139"/>
      <c r="AA203" s="145"/>
      <c r="AB203" s="385" t="str">
        <f>IF('Mon Entreprise'!K8&lt;=Annexes!Q26,"Oui","Non")</f>
        <v>Oui</v>
      </c>
      <c r="AC203" s="139"/>
      <c r="AD203" s="1"/>
      <c r="AE203" s="13"/>
    </row>
    <row r="204" spans="1:31" ht="16.5" customHeight="1">
      <c r="B204" s="168"/>
      <c r="C204" s="387"/>
      <c r="D204" s="306"/>
      <c r="E204" s="417"/>
      <c r="F204" s="417"/>
      <c r="G204" s="417"/>
      <c r="H204" s="417"/>
      <c r="I204" s="417"/>
      <c r="J204" s="417"/>
      <c r="K204" s="417"/>
      <c r="L204" s="417"/>
      <c r="M204" s="417"/>
      <c r="N204" s="417"/>
      <c r="O204" s="417"/>
      <c r="P204" s="1"/>
      <c r="T204" s="14"/>
      <c r="U204" s="525" t="s">
        <v>84</v>
      </c>
      <c r="V204" s="525"/>
      <c r="W204" s="525"/>
      <c r="X204" s="525"/>
      <c r="Y204" s="525"/>
      <c r="Z204" s="139"/>
      <c r="AA204" s="145"/>
      <c r="AB204" s="385">
        <f>IF('Mon Entreprise'!K8&gt;=Annexes!O20,IF(AB179&gt;=AB181,AB179,AB181),IF(AB179&gt;=AB180,AB179,AB180))</f>
        <v>0</v>
      </c>
      <c r="AC204" s="139"/>
      <c r="AD204" s="1"/>
      <c r="AE204" s="13"/>
    </row>
    <row r="205" spans="1:31" ht="16.5" customHeight="1">
      <c r="A205" s="99"/>
      <c r="B205" s="103"/>
      <c r="C205" s="387"/>
      <c r="D205" s="523" t="str">
        <f>IFERROR(IF('Mon Entreprise'!K8&gt;=Annexes!O20,IF(AB179&gt;=AB181,"- Le CA de référence est celui de Janvier 2019, soit une perte de "&amp;ROUND(AB179,0)&amp;" €"&amp;" ==&gt; "&amp;ROUND(AE179*100,0)&amp;" %","- Le CA de référence est celui de la création, soit une perte de "&amp;ROUND(AB181,0)&amp;" €"&amp;" ==&gt; "&amp;ROUND(AE181*100,0)&amp;" %"),IF(AB179&gt;=AB180,"- Le CA de référence est celui de Janvier 2019, soit une perte de "&amp;ROUND(AB179,0)&amp;" €"&amp;" ==&gt; "&amp;ROUND(AE179*100,0)&amp;" %","- Le CA de référence est celui de l'exercice 2019, soit une perte de "&amp;ROUND(AB180,0)&amp;" €"&amp;" ==&gt; "&amp;ROUND(AE180*100,0)&amp;" %")),"")</f>
        <v>- Le CA de référence est celui de Janvier 2019, soit une perte de 0 € ==&gt; 0 %</v>
      </c>
      <c r="E205" s="523"/>
      <c r="F205" s="523"/>
      <c r="G205" s="523"/>
      <c r="H205" s="523"/>
      <c r="I205" s="523"/>
      <c r="J205" s="523"/>
      <c r="K205" s="523"/>
      <c r="L205" s="523"/>
      <c r="M205" s="523"/>
      <c r="N205" s="523"/>
      <c r="O205" s="523"/>
      <c r="P205" s="1"/>
      <c r="T205" s="14"/>
      <c r="U205" s="525" t="s">
        <v>85</v>
      </c>
      <c r="V205" s="525"/>
      <c r="W205" s="525"/>
      <c r="X205" s="525"/>
      <c r="Y205" s="525"/>
      <c r="Z205" s="139"/>
      <c r="AA205" s="145"/>
      <c r="AB205" s="385">
        <f>IF('Mon Entreprise'!K8&gt;=Annexes!O20,IF(AB179&gt;=AB181,AE179,AE181),IF(AB179&gt;=AB180,AE179,AE180))</f>
        <v>0</v>
      </c>
      <c r="AC205" s="139"/>
      <c r="AD205" s="1"/>
      <c r="AE205" s="13"/>
    </row>
    <row r="206" spans="1:31" ht="16.5" customHeight="1">
      <c r="B206" s="103"/>
      <c r="C206" s="387"/>
      <c r="D206" s="215" t="str">
        <f>IF(OR(AB199="OUI",AB202=TRUE),"- Sans ticket modérateur",IF(AND(OR(AB201="OUI",AB200="OUI"),OR(AB196&gt;=0.8,AB197&gt;=0.8,AB198&gt;=0.1)),"- La Perte de référence est plafonnée à 80 %, soit "&amp;ROUND(AB208,0)&amp;" €","- Sans ticket modérateur"))</f>
        <v>- Sans ticket modérateur</v>
      </c>
      <c r="E206" s="377"/>
      <c r="F206" s="377"/>
      <c r="G206" s="377"/>
      <c r="H206" s="377"/>
      <c r="I206" s="377"/>
      <c r="J206" s="377"/>
      <c r="K206" s="377"/>
      <c r="L206" s="377"/>
      <c r="M206" s="377"/>
      <c r="N206" s="377"/>
      <c r="O206" s="377"/>
      <c r="P206" s="1"/>
      <c r="T206" s="14"/>
      <c r="U206" s="502" t="s">
        <v>74</v>
      </c>
      <c r="V206" s="502"/>
      <c r="W206" s="502"/>
      <c r="X206" s="502"/>
      <c r="Y206" s="502"/>
      <c r="Z206" s="139"/>
      <c r="AA206" s="145"/>
      <c r="AB206" s="385">
        <f>IF(OR(AB199="OUI",AB202=TRUE),1,IF(AND(OR(AB201="OUI",AB200="OUI"),OR(AB196&gt;=0.8,AB197&gt;=0.8,AB198&gt;=0.1)),0.8,1))</f>
        <v>1</v>
      </c>
      <c r="AC206" s="139"/>
      <c r="AD206" s="1"/>
      <c r="AE206" s="13"/>
    </row>
    <row r="207" spans="1:31" ht="16.5" customHeight="1" thickBot="1">
      <c r="B207" s="103"/>
      <c r="C207" s="387"/>
      <c r="D207" s="377"/>
      <c r="E207" s="377"/>
      <c r="F207" s="377"/>
      <c r="G207" s="377"/>
      <c r="H207" s="377"/>
      <c r="I207" s="377"/>
      <c r="J207" s="377"/>
      <c r="K207" s="377"/>
      <c r="L207" s="377"/>
      <c r="M207" s="377"/>
      <c r="N207" s="377"/>
      <c r="O207" s="377"/>
      <c r="P207" s="1"/>
      <c r="T207" s="14"/>
      <c r="U207" s="502" t="s">
        <v>80</v>
      </c>
      <c r="V207" s="502"/>
      <c r="W207" s="502"/>
      <c r="X207" s="502"/>
      <c r="Y207" s="502"/>
      <c r="Z207" s="139"/>
      <c r="AA207" s="145"/>
      <c r="AB207" s="385">
        <f>IF('Mon Entreprise'!K8&gt;=Annexes!O20,IF(AB179&gt;=AB181,Y179,Y181),IF(AB179&gt;=AB180,Y179,Y180))</f>
        <v>0</v>
      </c>
      <c r="AC207" s="139"/>
      <c r="AD207" s="1"/>
      <c r="AE207" s="13"/>
    </row>
    <row r="208" spans="1:31" ht="16.5" customHeight="1">
      <c r="B208" s="103"/>
      <c r="C208" s="387"/>
      <c r="D208" s="508" t="str">
        <f>IFERROR(IF('Mon Entreprise'!K8&gt;Annexes!Q26,"Vous avez débuté votre activité après le 31 Octobre 2020, vous ne pouvez donc pas bénéficier de cette aide",IF(AB202=TRUE,IF(AB208&gt;Annexes!O6,"Dans votre cas, l'aide est Plafonnée, à "&amp;Annexes!O6&amp;" € pour le mois de Janvier","Vous pouvez bénéficier, au titre de cette aide, d'un montant de "&amp;ROUND(AB208,0)&amp;" € pour le mois de Janvier"),IF(AB205&gt;=0.5,IF(OR(AB199="OUI",AND(OR(AB201="OUI",AB200="OUI"),OR(AB196&gt;=Annexes!P5,AB197&gt;=Annexes!P5,AB198&gt;=0.1))),IF(AB208&gt;Annexes!O6,"Dans votre cas, l'aide est Plafonnée, à "&amp;Annexes!O6&amp;" € pour le mois de Janvier","Vous pouvez bénéficier, au titre de cette aide, d'un montant de "&amp;ROUND(AB208,0)&amp;" € pour le mois de Janvier"),IF(AND(OR(AB201="OUI",AB200="OUI"),OR(AB196&lt;Annexes!P5,AB197&lt;Annexes!P5)),"L'entreprise fait partie des entreprises mentionnées en annexe 2 ou 3 du décret, mais n'a pas eu une perte de CA d'au-Moins 80 % entre le 15/03/2020 et le 15/05/2020 ou au mois de Novembre 2020 ou 10 % de perte entre 2019 et 2020","L'entreprise ne fait pas partie des entreprises ayant une fermeture administrative et ne fait pas partie des activités mentionnées aux annexes 1, 2 et 3 du décret")),"L'entreprise n'a pas une perte d'au moins 50 % en Janvier 2021"))),"Vous n'avez pas indiqué de chiffre d'affaires de référence")</f>
        <v>L'entreprise n'a pas une perte d'au moins 50 % en Janvier 2021</v>
      </c>
      <c r="E208" s="509"/>
      <c r="F208" s="509"/>
      <c r="G208" s="509"/>
      <c r="H208" s="509"/>
      <c r="I208" s="509"/>
      <c r="J208" s="509"/>
      <c r="K208" s="509"/>
      <c r="L208" s="509"/>
      <c r="M208" s="509"/>
      <c r="N208" s="509"/>
      <c r="O208" s="510"/>
      <c r="P208" s="1"/>
      <c r="T208" s="14"/>
      <c r="U208" s="490" t="s">
        <v>104</v>
      </c>
      <c r="V208" s="490"/>
      <c r="W208" s="490"/>
      <c r="X208" s="490"/>
      <c r="Y208" s="490"/>
      <c r="Z208" s="1"/>
      <c r="AA208" s="14"/>
      <c r="AB208" s="381">
        <f>IF(AB206=1,AB204,IF(AB204*AB206&gt;1500,IF(AB204&gt;1500,AB204*AB206,"Impossible"),IF(AB204&lt;1500,AB204,1500)))</f>
        <v>0</v>
      </c>
      <c r="AC208" s="1"/>
      <c r="AD208" s="1"/>
      <c r="AE208" s="13"/>
    </row>
    <row r="209" spans="2:31" ht="16.5" customHeight="1">
      <c r="B209" s="173"/>
      <c r="C209" s="387"/>
      <c r="D209" s="511"/>
      <c r="E209" s="512"/>
      <c r="F209" s="512"/>
      <c r="G209" s="512"/>
      <c r="H209" s="512"/>
      <c r="I209" s="512"/>
      <c r="J209" s="512"/>
      <c r="K209" s="512"/>
      <c r="L209" s="512"/>
      <c r="M209" s="512"/>
      <c r="N209" s="512"/>
      <c r="O209" s="513"/>
      <c r="P209" s="1"/>
      <c r="T209" s="14"/>
      <c r="U209" s="381"/>
      <c r="V209" s="381"/>
      <c r="W209" s="381"/>
      <c r="X209" s="381"/>
      <c r="Y209" s="381"/>
      <c r="Z209" s="1"/>
      <c r="AA209" s="1"/>
      <c r="AB209" s="1"/>
      <c r="AC209" s="1"/>
      <c r="AD209" s="1"/>
      <c r="AE209" s="13"/>
    </row>
    <row r="210" spans="2:31" ht="16.5" customHeight="1">
      <c r="B210" s="103"/>
      <c r="C210" s="387"/>
      <c r="D210" s="511"/>
      <c r="E210" s="512"/>
      <c r="F210" s="512"/>
      <c r="G210" s="512"/>
      <c r="H210" s="512"/>
      <c r="I210" s="512"/>
      <c r="J210" s="512"/>
      <c r="K210" s="512"/>
      <c r="L210" s="512"/>
      <c r="M210" s="512"/>
      <c r="N210" s="512"/>
      <c r="O210" s="513"/>
      <c r="P210" s="1"/>
      <c r="T210" s="14"/>
      <c r="U210" s="490"/>
      <c r="V210" s="490"/>
      <c r="W210" s="490"/>
      <c r="X210" s="490"/>
      <c r="Y210" s="490"/>
      <c r="Z210" s="1"/>
      <c r="AA210" s="1"/>
      <c r="AB210" s="1"/>
      <c r="AC210" s="1"/>
      <c r="AD210" s="1"/>
      <c r="AE210" s="13"/>
    </row>
    <row r="211" spans="2:31" ht="16.5" customHeight="1" thickBot="1">
      <c r="B211" s="103"/>
      <c r="C211" s="387"/>
      <c r="D211" s="514"/>
      <c r="E211" s="515"/>
      <c r="F211" s="515"/>
      <c r="G211" s="515"/>
      <c r="H211" s="515"/>
      <c r="I211" s="515"/>
      <c r="J211" s="515"/>
      <c r="K211" s="515"/>
      <c r="L211" s="515"/>
      <c r="M211" s="515"/>
      <c r="N211" s="515"/>
      <c r="O211" s="516"/>
      <c r="P211" s="1"/>
      <c r="T211" s="14"/>
      <c r="U211" s="381"/>
      <c r="V211" s="381"/>
      <c r="W211" s="381"/>
      <c r="X211" s="381"/>
      <c r="Y211" s="381"/>
      <c r="Z211" s="1"/>
      <c r="AA211" s="1"/>
      <c r="AB211" s="1"/>
      <c r="AC211" s="1"/>
      <c r="AD211" s="1"/>
      <c r="AE211" s="13"/>
    </row>
    <row r="212" spans="2:31" ht="16.5" customHeight="1">
      <c r="B212" s="103"/>
      <c r="C212" s="169"/>
      <c r="D212" s="174"/>
      <c r="E212" s="174"/>
      <c r="F212" s="174"/>
      <c r="G212" s="174"/>
      <c r="H212" s="174"/>
      <c r="I212" s="174"/>
      <c r="J212" s="174"/>
      <c r="K212" s="174"/>
      <c r="L212" s="174"/>
      <c r="M212" s="174"/>
      <c r="N212" s="174"/>
      <c r="O212" s="174"/>
      <c r="P212" s="1"/>
      <c r="T212" s="14"/>
      <c r="U212" s="1"/>
      <c r="V212" s="1"/>
      <c r="W212" s="1"/>
      <c r="X212" s="1"/>
      <c r="Y212" s="1"/>
      <c r="Z212" s="1"/>
      <c r="AA212" s="1"/>
      <c r="AB212" s="1"/>
      <c r="AC212" s="1"/>
      <c r="AD212" s="1"/>
      <c r="AE212" s="13"/>
    </row>
    <row r="213" spans="2:31" ht="16.5" customHeight="1">
      <c r="B213" s="103"/>
      <c r="C213" s="387"/>
      <c r="D213" s="377"/>
      <c r="E213" s="377"/>
      <c r="F213" s="377"/>
      <c r="G213" s="377"/>
      <c r="H213" s="377"/>
      <c r="I213" s="377"/>
      <c r="J213" s="377"/>
      <c r="K213" s="377"/>
      <c r="L213" s="377"/>
      <c r="M213" s="377"/>
      <c r="N213" s="377"/>
      <c r="O213" s="377"/>
      <c r="P213" s="1"/>
      <c r="T213" s="14"/>
      <c r="U213" s="1"/>
      <c r="V213" s="1"/>
      <c r="W213" s="1"/>
      <c r="X213" s="1"/>
      <c r="Y213" s="1"/>
      <c r="Z213" s="1"/>
      <c r="AA213" s="1"/>
      <c r="AB213" s="1"/>
      <c r="AC213" s="1"/>
      <c r="AD213" s="1"/>
      <c r="AE213" s="13"/>
    </row>
    <row r="214" spans="2:31" ht="16.5" customHeight="1">
      <c r="B214" s="103"/>
      <c r="C214" s="529" t="s">
        <v>304</v>
      </c>
      <c r="D214" s="529"/>
      <c r="E214" s="529"/>
      <c r="F214" s="529"/>
      <c r="G214" s="529"/>
      <c r="H214" s="529"/>
      <c r="I214" s="529"/>
      <c r="J214" s="529"/>
      <c r="K214" s="529"/>
      <c r="L214" s="529"/>
      <c r="M214" s="529"/>
      <c r="N214" s="529"/>
      <c r="O214" s="529"/>
      <c r="P214" s="1"/>
      <c r="T214" s="14"/>
      <c r="U214" s="502" t="s">
        <v>82</v>
      </c>
      <c r="V214" s="502"/>
      <c r="W214" s="502"/>
      <c r="X214" s="502"/>
      <c r="Y214" s="502"/>
      <c r="Z214" s="68"/>
      <c r="AA214" s="1"/>
      <c r="AB214" s="1">
        <f>IFERROR(IF(AB187="Non",0,IF(AB190&gt;=0.5,IF(AB189&gt;Annexes!O5,Annexes!O5,ROUND(AB189,0)),0)),0)</f>
        <v>0</v>
      </c>
      <c r="AC214" s="1"/>
      <c r="AD214" s="1"/>
      <c r="AE214" s="13"/>
    </row>
    <row r="215" spans="2:31" ht="16.5" customHeight="1">
      <c r="B215" s="103"/>
      <c r="C215" s="529"/>
      <c r="D215" s="529"/>
      <c r="E215" s="529"/>
      <c r="F215" s="529"/>
      <c r="G215" s="529"/>
      <c r="H215" s="529"/>
      <c r="I215" s="529"/>
      <c r="J215" s="529"/>
      <c r="K215" s="529"/>
      <c r="L215" s="529"/>
      <c r="M215" s="529"/>
      <c r="N215" s="529"/>
      <c r="O215" s="529"/>
      <c r="P215" s="1"/>
      <c r="T215" s="14"/>
      <c r="U215" s="502" t="s">
        <v>81</v>
      </c>
      <c r="V215" s="502"/>
      <c r="W215" s="502"/>
      <c r="X215" s="502"/>
      <c r="Y215" s="502"/>
      <c r="Z215" s="68"/>
      <c r="AA215" s="1"/>
      <c r="AB215" s="1">
        <f>IFERROR(IF('Mon Entreprise'!K8&gt;Annexes!Q26,0,IF(AB202=TRUE,IF(AB208&gt;Annexes!O6,Annexes!O6,ROUND(AB208,0)),IF(AB205&gt;=0.5,IF(OR(AB199="OUI",AND(OR(AB201="OUI",AB200="OUI"),OR(AB196&gt;=Annexes!P5,AB197&gt;=Annexes!P5,AB198&gt;=0.1))),IF(AB208&gt;Annexes!O6,Annexes!O6,ROUND(AB208,0)),IF(AND(OR(AB201="OUI",AB200="OUI"),OR(AB196&lt;Annexes!P5,AB197&lt;Annexes!P5)),0,0)),0))),0)</f>
        <v>0</v>
      </c>
      <c r="AC215" s="1"/>
      <c r="AD215" s="1"/>
      <c r="AE215" s="13"/>
    </row>
    <row r="216" spans="2:31" ht="16.5" customHeight="1">
      <c r="B216" s="173"/>
      <c r="C216" s="529"/>
      <c r="D216" s="529"/>
      <c r="E216" s="529"/>
      <c r="F216" s="529"/>
      <c r="G216" s="529"/>
      <c r="H216" s="529"/>
      <c r="I216" s="529"/>
      <c r="J216" s="529"/>
      <c r="K216" s="529"/>
      <c r="L216" s="529"/>
      <c r="M216" s="529"/>
      <c r="N216" s="529"/>
      <c r="O216" s="529"/>
      <c r="P216" s="1"/>
      <c r="T216" s="14"/>
      <c r="U216" s="502" t="s">
        <v>399</v>
      </c>
      <c r="V216" s="502"/>
      <c r="W216" s="502"/>
      <c r="X216" s="502"/>
      <c r="Y216" s="502"/>
      <c r="Z216" s="68"/>
      <c r="AA216" s="1"/>
      <c r="AB216" s="1">
        <f>IFERROR(IF('Mon Entreprise'!K8&gt;Annexes!Q26,0,IF(AB202=TRUE,IF(AB207=0,0,IF(AB204&lt;AB207*0.2,ROUND(AB204,0),IF(AB207*0.2&gt;=200000,Annexes!O8,ROUND(AB207*0.2,0)))),IF(OR(AB199="OUI",AND(AB200="OUI",OR(AB196&gt;=0.8,AB197&gt;=0.8,AB198&gt;=0.1))),IF(AB205&gt;=0.7,IF(AB204&lt;AB207*0.2,ROUND(AB204,0),IF(AB207*0.2&gt;=200000,Annexes!O8,ROUND(AB207*0.2,0))),IF(AB205&gt;=0.5,IF(AB204&lt;AB207*0.15,ROUND(AB204,0),IF(AB207*0.15&gt;=200000,Annexes!O8,ROUND(AB207*0.15,0))),IF(AND(AB201="OUI",OR(AB196&gt;=0.8,AB197&gt;=0.8,AB198&gt;=0.1),AB205&gt;=0.7),IF(AB204&lt;AB207*0.2,ROUND(AB204,0),IF(AB207*0.2&gt;=200000,Annexes!O8,ROUND(AB207*0.2,0))),0))),IF(AND(AB201="OUI",OR(AB196&gt;=0.8,AB197&gt;=0.8,AB198&gt;=0.1),AB205&gt;=0.7),IF(AB204&lt;AB207*0.2,ROUND(AB204,0),IF(AB207*0.2&gt;=200000,Annexes!O8,ROUND(AB207*0.2,0))),0)))),0)</f>
        <v>0</v>
      </c>
      <c r="AC216" s="1"/>
      <c r="AD216" s="1"/>
      <c r="AE216" s="13"/>
    </row>
    <row r="217" spans="2:31" ht="16.5" customHeight="1">
      <c r="B217" s="173"/>
      <c r="C217" s="387"/>
      <c r="D217" s="306"/>
      <c r="E217" s="417" t="str">
        <f>IF('Mon Entreprise'!K8&gt;Annexes!Q24,"",IF(OR(AB199="OUI",AND(OR(AB201="OUI",AB200="OUI"),OR(AB196&gt;=Annexes!P5,AB197&gt;=Annexes!P5,'Mes Aides'!AB145&gt;=0.1)),AB202=TRUE),"",IF(AND(OR(AB201="OUI",AB200="OUI"),OR(AB196&lt;Annexes!P5,AB197&lt;Annexes!P5,'Mes Aides'!AB145&lt;0.1)),"L'entreprise fait partie des entreprises mentionnées en annexe 2 ou 3 du décret mais n'a pas eu une perte de CA d'au-Moins 80 %, entre le 15/03/2020 et le 15/05/2020 ou Novembre 2020 ou 10 % entre 2019 et 2020","L'entreprise ne fait pas partie des entreprises ayant une fermeture administrative et ne fait pas partie des activités mentionnées aux annexes 1, 2 et 3 du décret")))</f>
        <v>L'entreprise ne fait pas partie des entreprises ayant une fermeture administrative et ne fait pas partie des activités mentionnées aux annexes 1, 2 et 3 du décret</v>
      </c>
      <c r="F217" s="417"/>
      <c r="G217" s="417"/>
      <c r="H217" s="417"/>
      <c r="I217" s="417"/>
      <c r="J217" s="417"/>
      <c r="K217" s="417"/>
      <c r="L217" s="417"/>
      <c r="M217" s="417"/>
      <c r="N217" s="417"/>
      <c r="O217" s="417"/>
      <c r="P217" s="1"/>
      <c r="T217" s="14"/>
      <c r="U217" s="1"/>
      <c r="V217" s="1"/>
      <c r="W217" s="1"/>
      <c r="X217" s="1"/>
      <c r="Y217" s="1"/>
      <c r="Z217" s="1"/>
      <c r="AA217" s="1"/>
      <c r="AB217" s="1"/>
      <c r="AC217" s="1"/>
      <c r="AD217" s="1"/>
      <c r="AE217" s="13"/>
    </row>
    <row r="218" spans="2:31" ht="30" customHeight="1">
      <c r="B218" s="173"/>
      <c r="C218" s="387"/>
      <c r="D218" s="306"/>
      <c r="E218" s="417"/>
      <c r="F218" s="417"/>
      <c r="G218" s="417"/>
      <c r="H218" s="417"/>
      <c r="I218" s="417"/>
      <c r="J218" s="417"/>
      <c r="K218" s="417"/>
      <c r="L218" s="417"/>
      <c r="M218" s="417"/>
      <c r="N218" s="417"/>
      <c r="O218" s="417"/>
      <c r="P218" s="1"/>
      <c r="T218" s="14"/>
      <c r="U218" s="1"/>
      <c r="V218" s="1"/>
      <c r="W218" s="1"/>
      <c r="X218" s="1"/>
      <c r="Y218" s="1"/>
      <c r="Z218" s="1"/>
      <c r="AA218" s="1"/>
      <c r="AB218" s="1"/>
      <c r="AC218" s="1"/>
      <c r="AD218" s="1"/>
      <c r="AE218" s="13"/>
    </row>
    <row r="219" spans="2:31" ht="16.5" customHeight="1">
      <c r="B219" s="173"/>
      <c r="C219" s="387"/>
      <c r="D219" s="417" t="str">
        <f>IFERROR(IF('Mon Entreprise'!K8&gt;=Annexes!O20,IF(AB179&gt;=AB181,"- Le CA de référence est celui de Janvier 2019, soit une perte de "&amp;ROUND(AB179,0)&amp;" €"&amp;" ==&gt; "&amp;ROUND(AE179*100,0)&amp;" %","- Le CA de référence est celui de la création, soit une perte de "&amp;ROUND(AB181,0)&amp;" €"&amp;" ==&gt; "&amp;ROUND(AE181*100,0)&amp;" %"),IF(AB179&gt;=AB180,"- Le CA de référence est celui de Janvier 2019, soit une perte de "&amp;ROUND(AB179,0)&amp;" €"&amp;" ==&gt; "&amp;ROUND(AE179*100,0)&amp;" %","- Le CA de référence est celui de l'exercice 2019, soit une perte de "&amp;ROUND(AB180,0)&amp;" €"&amp;" ==&gt; "&amp;ROUND(AE180*100,0)&amp;" %")),"")</f>
        <v>- Le CA de référence est celui de Janvier 2019, soit une perte de 0 € ==&gt; 0 %</v>
      </c>
      <c r="E219" s="417"/>
      <c r="F219" s="417"/>
      <c r="G219" s="417"/>
      <c r="H219" s="417"/>
      <c r="I219" s="417"/>
      <c r="J219" s="417"/>
      <c r="K219" s="417"/>
      <c r="L219" s="417"/>
      <c r="M219" s="417"/>
      <c r="N219" s="417"/>
      <c r="O219" s="417"/>
      <c r="P219" s="377"/>
      <c r="Q219" s="377"/>
      <c r="T219" s="14"/>
      <c r="U219" s="1"/>
      <c r="V219" s="1"/>
      <c r="W219" s="1"/>
      <c r="X219" s="1"/>
      <c r="Y219" s="1"/>
      <c r="Z219" s="1"/>
      <c r="AA219" s="1"/>
      <c r="AB219" s="1"/>
      <c r="AC219" s="1"/>
      <c r="AD219" s="1"/>
      <c r="AE219" s="13"/>
    </row>
    <row r="220" spans="2:31" ht="16.5" customHeight="1">
      <c r="B220" s="103"/>
      <c r="C220" s="387"/>
      <c r="D220" s="523" t="str">
        <f>IF(AB202=TRUE,"- L'entreprise peut bénéficier d'une aide de 20 % du CA de référence, plafonnée à 200 000 €",IF(OR(AB199="OUI",AND(AB200="OUI",OR(AB196&gt;=0.8,AB197&gt;=0.8,AB198&gt;=0.1))),IF(AB205&gt;=0.7,"- L'entreprise peut bénéficier d'une aide de 20 % du CA de référence, plafonnée à 200 000 €",IF(AB205&gt;=0.5,"- L'entreprise peut bénéficier d'une aide de 15 % du CA de référence, plafonnée à 200 000 €","- L'entreprise n'a subi ni de fermeture administrative au mois de Janvier, ni de perte d'au moins 50 % de son CA")),IF(AND(AB201="OUI",OR(AB196&gt;=0.8,AB197&gt;=0.8,AB198&gt;=0.1),AB205&gt;=0.5),"- L'entreprise peut bénéficier d'une aide de 20 % du CA de référence, plafonnée à 200 000 €","- L'entreprise ne fait ni partie des fermetures administratives au mois de Janvier, ni des activités mentionnées en annexe 1 (S1) ou en annexe 2 (S1 bis) ou Annexe 3 ayant une perte significative")))</f>
        <v>- L'entreprise ne fait ni partie des fermetures administratives au mois de Janvier, ni des activités mentionnées en annexe 1 (S1) ou en annexe 2 (S1 bis) ou Annexe 3 ayant une perte significative</v>
      </c>
      <c r="E220" s="523"/>
      <c r="F220" s="523"/>
      <c r="G220" s="523"/>
      <c r="H220" s="523"/>
      <c r="I220" s="523"/>
      <c r="J220" s="523"/>
      <c r="K220" s="523"/>
      <c r="L220" s="523"/>
      <c r="M220" s="523"/>
      <c r="N220" s="523"/>
      <c r="O220" s="523"/>
      <c r="P220" s="377"/>
      <c r="Q220" s="377"/>
      <c r="T220" s="14"/>
      <c r="U220" s="1"/>
      <c r="V220" s="1"/>
      <c r="W220" s="1"/>
      <c r="X220" s="1"/>
      <c r="Y220" s="1"/>
      <c r="Z220" s="1"/>
      <c r="AA220" s="1"/>
      <c r="AB220" s="1"/>
      <c r="AC220" s="1"/>
      <c r="AD220" s="1"/>
      <c r="AE220" s="13"/>
    </row>
    <row r="221" spans="2:31" ht="16.5" customHeight="1">
      <c r="B221" s="168"/>
      <c r="C221" s="387"/>
      <c r="D221" s="523"/>
      <c r="E221" s="523"/>
      <c r="F221" s="523"/>
      <c r="G221" s="523"/>
      <c r="H221" s="523"/>
      <c r="I221" s="523"/>
      <c r="J221" s="523"/>
      <c r="K221" s="523"/>
      <c r="L221" s="523"/>
      <c r="M221" s="523"/>
      <c r="N221" s="523"/>
      <c r="O221" s="523"/>
      <c r="P221" s="377"/>
      <c r="Q221" s="377"/>
      <c r="T221" s="14"/>
      <c r="U221" s="1"/>
      <c r="V221" s="1"/>
      <c r="W221" s="1"/>
      <c r="X221" s="1"/>
      <c r="Y221" s="1"/>
      <c r="Z221" s="1"/>
      <c r="AA221" s="1"/>
      <c r="AB221" s="1"/>
      <c r="AC221" s="1"/>
      <c r="AD221" s="1"/>
      <c r="AE221" s="13"/>
    </row>
    <row r="222" spans="2:31" ht="16.5" customHeight="1" thickBot="1">
      <c r="B222" s="168"/>
      <c r="C222" s="387"/>
      <c r="D222" s="205"/>
      <c r="E222" s="377"/>
      <c r="F222" s="377"/>
      <c r="G222" s="377"/>
      <c r="H222" s="377"/>
      <c r="I222" s="377"/>
      <c r="J222" s="377"/>
      <c r="K222" s="377"/>
      <c r="L222" s="377"/>
      <c r="M222" s="377"/>
      <c r="N222" s="377"/>
      <c r="O222" s="377"/>
      <c r="P222" s="377"/>
      <c r="Q222" s="377"/>
      <c r="T222" s="14"/>
      <c r="U222" s="1"/>
      <c r="V222" s="1"/>
      <c r="W222" s="1"/>
      <c r="X222" s="1"/>
      <c r="Y222" s="1"/>
      <c r="Z222" s="1"/>
      <c r="AA222" s="1"/>
      <c r="AB222" s="1"/>
      <c r="AC222" s="1"/>
      <c r="AD222" s="1"/>
      <c r="AE222" s="13"/>
    </row>
    <row r="223" spans="2:31" ht="16.5" customHeight="1">
      <c r="B223" s="103"/>
      <c r="C223" s="180"/>
      <c r="D223" s="526" t="str">
        <f>IFERROR(IF('Mon Entreprise'!K8&gt;Annexes!Q26,"Vous avez débuté votre activité après le 31 Octobre 2020, vous ne pouvez donc pas bénéficier de cette aide",IF(AB202=TRUE,IF(AB207=0,"Vous n'avez pas indiqué de chiffre d'affaires de référence",IF(AB204&lt;AB207*0.2,"Dans votre cas, la perte est inférieure à 20 % du CA, l'aide est donc plafonnée à la perte, soit "&amp;ROUND(AB204,0)&amp;" € pour le mois de Janvier",IF(AB207*0.2&gt;=200000,"Dans votre cas, l'aide est plafonnée, à "&amp;Annexes!O8&amp;" € pour le mois de Janvier","Vous pouvez bénéficier, au titre de cette aide, d'un montant de "&amp;ROUND(AB207*0.2,0)&amp;" € pour le mois de Janvier"))),IF(OR(AB199="OUI",AND(AB200="OUI",OR(AB196&gt;=0.8,AB197&gt;=0.8,AB198&gt;=0.1))),IF(AB205&gt;=0.7,IF(AB204&lt;AB207*0.2,"Dans votre cas, la perte est inférieure à 20 % du CA, l'aide est donc plafonnée à la perte, soit "&amp;ROUND(AB204,0)&amp;" € pour le mois de Janvier",IF(AB207*0.2&gt;=200000,"Dans votre cas, l'aide est plafonnée, à "&amp;Annexes!O8&amp;" € pour le mois de Janvier","Vous pouvez bénéficier, au titre de cette aide, d'un montant de "&amp;ROUND(AB207*0.2,0)&amp;" € pour le mois de Janvier")),IF(AB205&gt;=0.5,IF(AB204&lt;AB207*0.15,"Dans votre cas, la perte est inférieure à 15 % du CA, l'aide est donc plafonnée à la perte, soit "&amp;ROUND(AB204,0)&amp;" € pour le mois de Janvier",IF(AB207*0.15&gt;=200000,"Dans votre cas, l'aide est plafonnée, à "&amp;Annexes!O8&amp;" € pour le mois de Janvier","Vous pouvez bénéficier, au titre de cette aide, d'un montant de "&amp;ROUND(AB207*0.15,0)&amp;" € pour le mois de Janvier")),IF(AND(AB201="OUI",OR(AB196&gt;=0.8,AB197&gt;=0.8,AB198&gt;=0.1),AB205&gt;=0.7),IF(AB204&lt;AB207*0.2,"Dans votre cas, la perte est inférieure à 20 % du CA, l'aide est donc plafonnée à la perte, soit "&amp;ROUND(AB204,0)&amp;" € pour le mois de Janvier",IF(AB207*0.2&gt;=200000,"Dans votre cas, l'aide est plafonnée, à "&amp;Annexes!O8&amp;" € pour le mois de Janvier","Vous pouvez bénéficier, au titre de cette aide, d'un montant de "&amp;ROUND(AB207*0.2,0)&amp;" € pour le mois de Janvier")),"L'entreprise ne fait ni partie des fermetures administratives au mois de Janvier, ni des activités mentionnées en annexe 1 (S1) ou 2 (S1 bis) avec 50 % de perte en Janvier ou 3 avec 70 % de Perte en Janvier"))),IF(AND(AB201="OUI",OR(AB196&gt;=0.8,AB197&gt;=0.8,AB198&gt;=0.1),AB205&gt;=0.7),IF(AB204&lt;AB207*0.2,"Dans votre cas, la perte est inférieure à 20 % du CA, l'aide est donc plafonnée à la perte, soit "&amp;ROUND(AB204,0)&amp;" € pour le mois de Janvier",IF(AB207*0.2&gt;=200000,"Dans votre cas, l'aide est plafonnée, à "&amp;Annexes!O8&amp;" € pour le mois de Janvier","Vous pouvez bénéficier, au titre de cette aide, d'un montant de "&amp;ROUND(AB207*0.2,0)&amp;" € pour le mois de Janvier")),"L'entreprise ne fait ni partie des fermetures administratives au mois de Janvier, ni des activités mentionnées en annexe 1 (S1) ou en annexe 2 (S1 bis) avec 50 % de perte en Janvier ou 3 avec 70 % de Perte en Janvier")))),"Vous n'avez pas indiqué de chiffre d'affaires de référence")</f>
        <v>L'entreprise ne fait ni partie des fermetures administratives au mois de Janvier, ni des activités mentionnées en annexe 1 (S1) ou en annexe 2 (S1 bis) avec 50 % de perte en Janvier ou 3 avec 70 % de Perte en Janvier</v>
      </c>
      <c r="E223" s="509"/>
      <c r="F223" s="509"/>
      <c r="G223" s="509"/>
      <c r="H223" s="509"/>
      <c r="I223" s="509"/>
      <c r="J223" s="509"/>
      <c r="K223" s="509"/>
      <c r="L223" s="509"/>
      <c r="M223" s="509"/>
      <c r="N223" s="509"/>
      <c r="O223" s="510"/>
      <c r="P223" s="377"/>
      <c r="Q223" s="377"/>
      <c r="T223" s="14"/>
      <c r="U223" s="1"/>
      <c r="V223" s="1"/>
      <c r="W223" s="1"/>
      <c r="X223" s="1"/>
      <c r="Y223" s="1"/>
      <c r="Z223" s="1"/>
      <c r="AA223" s="1"/>
      <c r="AB223" s="1"/>
      <c r="AC223" s="1"/>
      <c r="AD223" s="1"/>
      <c r="AE223" s="13"/>
    </row>
    <row r="224" spans="2:31" ht="16.5" customHeight="1">
      <c r="B224" s="103"/>
      <c r="C224" s="180"/>
      <c r="D224" s="511"/>
      <c r="E224" s="512"/>
      <c r="F224" s="512"/>
      <c r="G224" s="512"/>
      <c r="H224" s="512"/>
      <c r="I224" s="512"/>
      <c r="J224" s="512"/>
      <c r="K224" s="512"/>
      <c r="L224" s="512"/>
      <c r="M224" s="512"/>
      <c r="N224" s="512"/>
      <c r="O224" s="513"/>
      <c r="P224" s="377"/>
      <c r="Q224" s="377"/>
      <c r="T224" s="14"/>
      <c r="U224" s="1"/>
      <c r="V224" s="1"/>
      <c r="W224" s="1"/>
      <c r="X224" s="1"/>
      <c r="Y224" s="1"/>
      <c r="Z224" s="1"/>
      <c r="AA224" s="1"/>
      <c r="AB224" s="1"/>
      <c r="AC224" s="1"/>
      <c r="AD224" s="1"/>
      <c r="AE224" s="13"/>
    </row>
    <row r="225" spans="2:31" ht="16.5" customHeight="1">
      <c r="B225" s="103"/>
      <c r="C225" s="180"/>
      <c r="D225" s="511"/>
      <c r="E225" s="512"/>
      <c r="F225" s="512"/>
      <c r="G225" s="512"/>
      <c r="H225" s="512"/>
      <c r="I225" s="512"/>
      <c r="J225" s="512"/>
      <c r="K225" s="512"/>
      <c r="L225" s="512"/>
      <c r="M225" s="512"/>
      <c r="N225" s="512"/>
      <c r="O225" s="513"/>
      <c r="P225" s="175"/>
      <c r="Q225" s="175"/>
      <c r="T225" s="14"/>
      <c r="U225" s="1"/>
      <c r="V225" s="1"/>
      <c r="W225" s="1"/>
      <c r="X225" s="1"/>
      <c r="Y225" s="1"/>
      <c r="Z225" s="1"/>
      <c r="AA225" s="1"/>
      <c r="AB225" s="1"/>
      <c r="AC225" s="1"/>
      <c r="AD225" s="1"/>
      <c r="AE225" s="13"/>
    </row>
    <row r="226" spans="2:31" ht="16.5" customHeight="1" thickBot="1">
      <c r="B226" s="103"/>
      <c r="C226" s="180"/>
      <c r="D226" s="514"/>
      <c r="E226" s="515"/>
      <c r="F226" s="515"/>
      <c r="G226" s="515"/>
      <c r="H226" s="515"/>
      <c r="I226" s="515"/>
      <c r="J226" s="515"/>
      <c r="K226" s="515"/>
      <c r="L226" s="515"/>
      <c r="M226" s="515"/>
      <c r="N226" s="515"/>
      <c r="O226" s="516"/>
      <c r="T226" s="14"/>
      <c r="U226" s="1"/>
      <c r="V226" s="1"/>
      <c r="W226" s="1"/>
      <c r="X226" s="1"/>
      <c r="Y226" s="1"/>
      <c r="Z226" s="1"/>
      <c r="AA226" s="1"/>
      <c r="AB226" s="1"/>
      <c r="AC226" s="1"/>
      <c r="AD226" s="1"/>
      <c r="AE226" s="13"/>
    </row>
    <row r="227" spans="2:31" ht="16.5" customHeight="1">
      <c r="B227" s="5"/>
      <c r="C227" s="5"/>
      <c r="D227" s="391"/>
      <c r="E227" s="391"/>
      <c r="F227" s="391"/>
      <c r="G227" s="391"/>
      <c r="H227" s="391"/>
      <c r="I227" s="391"/>
      <c r="J227" s="391"/>
      <c r="K227" s="391"/>
      <c r="L227" s="391"/>
      <c r="M227" s="391"/>
      <c r="N227" s="391"/>
      <c r="O227" s="391"/>
      <c r="P227" s="177"/>
      <c r="Q227" s="177"/>
      <c r="T227" s="14"/>
      <c r="U227" s="1"/>
      <c r="V227" s="1"/>
      <c r="W227" s="1"/>
      <c r="X227" s="1"/>
      <c r="Y227" s="1"/>
      <c r="Z227" s="1"/>
      <c r="AA227" s="1"/>
      <c r="AB227" s="1"/>
      <c r="AC227" s="1"/>
      <c r="AD227" s="1"/>
      <c r="AE227" s="13"/>
    </row>
    <row r="228" spans="2:31">
      <c r="B228" s="5"/>
      <c r="C228" s="5"/>
      <c r="D228" s="391"/>
      <c r="E228" s="391"/>
      <c r="F228" s="391"/>
      <c r="G228" s="391"/>
      <c r="H228" s="391"/>
      <c r="I228" s="391"/>
      <c r="J228" s="391"/>
      <c r="K228" s="391"/>
      <c r="L228" s="391"/>
      <c r="M228" s="391"/>
      <c r="N228" s="391"/>
      <c r="O228" s="391"/>
      <c r="P228" s="177"/>
      <c r="Q228" s="177"/>
      <c r="T228" s="15"/>
      <c r="U228" s="10"/>
      <c r="V228" s="10"/>
      <c r="W228" s="10"/>
      <c r="X228" s="10"/>
      <c r="Y228" s="10"/>
      <c r="Z228" s="10"/>
      <c r="AA228" s="10"/>
      <c r="AB228" s="10"/>
      <c r="AC228" s="10"/>
      <c r="AD228" s="10"/>
      <c r="AE228" s="4"/>
    </row>
    <row r="229" spans="2:31">
      <c r="B229" s="5"/>
      <c r="C229" s="5"/>
      <c r="D229" s="391"/>
      <c r="E229" s="391"/>
      <c r="F229" s="391"/>
      <c r="G229" s="391"/>
      <c r="H229" s="391"/>
      <c r="I229" s="391"/>
      <c r="J229" s="391"/>
      <c r="K229" s="391"/>
      <c r="L229" s="391"/>
      <c r="M229" s="391"/>
      <c r="N229" s="391"/>
      <c r="O229" s="391"/>
      <c r="P229" s="177"/>
      <c r="Q229" s="177"/>
      <c r="T229" s="16"/>
      <c r="U229" s="11"/>
      <c r="V229" s="11"/>
      <c r="W229" s="11"/>
      <c r="X229" s="11"/>
      <c r="Y229" s="11"/>
      <c r="Z229" s="11"/>
      <c r="AA229" s="11"/>
      <c r="AB229" s="11"/>
      <c r="AC229" s="11"/>
      <c r="AD229" s="11"/>
      <c r="AE229" s="12"/>
    </row>
    <row r="230" spans="2:31" ht="16.5" thickBot="1">
      <c r="B230" s="220"/>
      <c r="C230" s="488" t="s">
        <v>309</v>
      </c>
      <c r="D230" s="488"/>
      <c r="E230" s="488"/>
      <c r="F230" s="488"/>
      <c r="G230" s="488"/>
      <c r="H230" s="488"/>
      <c r="I230" s="221"/>
      <c r="J230" s="221"/>
      <c r="K230" s="221"/>
      <c r="L230" s="221"/>
      <c r="M230" s="221"/>
      <c r="N230" s="221"/>
      <c r="O230" s="221"/>
      <c r="T230" s="14"/>
      <c r="U230" s="1"/>
      <c r="V230" s="1"/>
      <c r="W230" s="1"/>
      <c r="X230" s="1"/>
      <c r="Y230" s="1"/>
      <c r="Z230" s="1"/>
      <c r="AA230" s="1"/>
      <c r="AB230" s="1"/>
      <c r="AC230" s="1"/>
      <c r="AD230" s="1"/>
      <c r="AE230" s="13"/>
    </row>
    <row r="231" spans="2:31" ht="15" customHeight="1">
      <c r="B231" s="63"/>
      <c r="C231" s="24"/>
      <c r="D231" s="24"/>
      <c r="E231" s="24"/>
      <c r="F231" s="24"/>
      <c r="G231" s="24"/>
      <c r="H231" s="63"/>
      <c r="I231" s="1"/>
      <c r="J231" s="1"/>
      <c r="K231" s="1"/>
      <c r="L231" s="1"/>
      <c r="M231" s="1"/>
      <c r="N231" s="1"/>
      <c r="O231" s="1"/>
      <c r="T231" s="25"/>
      <c r="U231" s="490" t="s">
        <v>20</v>
      </c>
      <c r="V231" s="490"/>
      <c r="W231" s="490"/>
      <c r="X231" s="1"/>
      <c r="Y231" s="390" t="s">
        <v>6</v>
      </c>
      <c r="Z231" s="390"/>
      <c r="AA231" s="390"/>
      <c r="AB231" s="390" t="s">
        <v>23</v>
      </c>
      <c r="AC231" s="390"/>
      <c r="AD231" s="390"/>
      <c r="AE231" s="26" t="s">
        <v>24</v>
      </c>
    </row>
    <row r="232" spans="2:31" ht="15" customHeight="1">
      <c r="B232" s="103"/>
      <c r="C232" s="489" t="s">
        <v>312</v>
      </c>
      <c r="D232" s="489"/>
      <c r="E232" s="489"/>
      <c r="F232" s="489"/>
      <c r="G232" s="489"/>
      <c r="H232" s="489"/>
      <c r="I232" s="489"/>
      <c r="J232" s="489"/>
      <c r="K232" s="489"/>
      <c r="L232" s="489"/>
      <c r="M232" s="489"/>
      <c r="N232" s="489"/>
      <c r="O232" s="489"/>
      <c r="P232" s="1"/>
      <c r="T232" s="25"/>
      <c r="U232" s="390"/>
      <c r="V232" s="390"/>
      <c r="W232" s="390"/>
      <c r="X232" s="1"/>
      <c r="Y232" s="390"/>
      <c r="Z232" s="390"/>
      <c r="AA232" s="390"/>
      <c r="AB232" s="390"/>
      <c r="AC232" s="390"/>
      <c r="AD232" s="390"/>
      <c r="AE232" s="26"/>
    </row>
    <row r="233" spans="2:31" ht="15.75" customHeight="1">
      <c r="B233" s="103"/>
      <c r="C233" s="387"/>
      <c r="D233" s="60" t="s">
        <v>123</v>
      </c>
      <c r="E233" s="387"/>
      <c r="F233" s="387"/>
      <c r="G233" s="387"/>
      <c r="H233" s="387"/>
      <c r="I233" s="387"/>
      <c r="J233" s="387"/>
      <c r="K233" s="387"/>
      <c r="L233" s="387"/>
      <c r="M233" s="387"/>
      <c r="N233" s="387"/>
      <c r="O233" s="387"/>
      <c r="P233" s="1"/>
      <c r="T233" s="491" t="s">
        <v>311</v>
      </c>
      <c r="U233" s="490"/>
      <c r="V233" s="490"/>
      <c r="W233" s="490"/>
      <c r="X233" s="1"/>
      <c r="Y233" s="7">
        <f>'Mon Entreprise'!I124</f>
        <v>0</v>
      </c>
      <c r="Z233" s="133"/>
      <c r="AA233" s="21"/>
      <c r="AB233" s="7">
        <f>IF('Mon Entreprise'!I124-'Mon Entreprise'!M124&lt;0,0,'Mon Entreprise'!I124-'Mon Entreprise'!M124)</f>
        <v>0</v>
      </c>
      <c r="AC233" s="13"/>
      <c r="AD233" s="1"/>
      <c r="AE233" s="27">
        <f>IFERROR(1-'Mon Entreprise'!M124/'Mon Entreprise'!I124,0)</f>
        <v>0</v>
      </c>
    </row>
    <row r="234" spans="2:31" ht="16.5" hidden="1" thickBot="1">
      <c r="B234" s="103"/>
      <c r="C234" s="387"/>
      <c r="D234" s="60"/>
      <c r="E234" s="387"/>
      <c r="F234" s="387"/>
      <c r="G234" s="387"/>
      <c r="H234" s="387"/>
      <c r="I234" s="387"/>
      <c r="J234" s="387"/>
      <c r="K234" s="387"/>
      <c r="L234" s="387"/>
      <c r="M234" s="387"/>
      <c r="N234" s="387"/>
      <c r="O234" s="387"/>
      <c r="P234" s="1"/>
      <c r="T234" s="491" t="s">
        <v>25</v>
      </c>
      <c r="U234" s="490"/>
      <c r="V234" s="490"/>
      <c r="W234" s="490"/>
      <c r="X234" s="1"/>
      <c r="Y234" s="7">
        <f>'Mon Entreprise'!I98</f>
        <v>0</v>
      </c>
      <c r="Z234" s="133"/>
      <c r="AA234" s="21"/>
      <c r="AB234" s="7">
        <f>IF('Mon Entreprise'!I98-'Mon Entreprise'!M124&lt;0,0,'Mon Entreprise'!I98-'Mon Entreprise'!M124)</f>
        <v>0</v>
      </c>
      <c r="AC234" s="36"/>
      <c r="AD234" s="1"/>
      <c r="AE234" s="27">
        <f>IFERROR(1-'Mon Entreprise'!M124/'Mon Entreprise'!I98,0)</f>
        <v>0</v>
      </c>
    </row>
    <row r="235" spans="2:31" ht="15.75" hidden="1">
      <c r="B235" s="103"/>
      <c r="C235" s="387"/>
      <c r="D235" s="492" t="str">
        <f>IFERROR(IF(AND(AB271=0,AB272=0,AB273=0),"Vous ne pouvez pas bénéficier du fonds de solidarité pour le mois de Février 2021",IF(AND(AB273&gt;AB272,AB273&gt;AB271),"Votre entreprise peut bénéficier d'une aide de "&amp;AB273&amp;" €, au titre d'une fermeture Administrative avec une perte de 20 % de CA, ou d'une perte d'au moins 50 % ou 70 % du CA pour les activités mentionnées en annexe 1,"&amp;" ou d'une perte d'au moins 70 % du CA pour les activités mentionnées en annexe 2 ou 3 ou dans un centre commercial",IF(AB272&gt;AB271,"Votre entreprise peut bénéficier d'une aide de "&amp;AB272&amp;" €, au titre d'une fermeture Administrative avec une perte de 20 % du CA, ou d'une perte d'au moins 50 % du CA pour les activités mentionnées en annexe 1,"&amp;" ou en annexe 2 ou 3 ou dans un centre commercial ayant une perte de CA d'au moins 80 % entre le 15/03/2020 et le 15/05/2020, au mois de Novembre 2020 ou 10 % de perte entre 2019 et 2020","Votre entreprise peut bénéficier d'une aide de "&amp;AB271&amp;" €, au titre d'une perte d'au-moins 50 % de votre CA en Février 2021"))),"Vous n'avez pas indiqué de chiffre d'affaires de référence")</f>
        <v>Vous ne pouvez pas bénéficier du fonds de solidarité pour le mois de Février 2021</v>
      </c>
      <c r="E235" s="493"/>
      <c r="F235" s="493"/>
      <c r="G235" s="493"/>
      <c r="H235" s="493"/>
      <c r="I235" s="493"/>
      <c r="J235" s="493"/>
      <c r="K235" s="493"/>
      <c r="L235" s="493"/>
      <c r="M235" s="493"/>
      <c r="N235" s="493"/>
      <c r="O235" s="494"/>
      <c r="P235" s="1"/>
      <c r="T235" s="501" t="s">
        <v>22</v>
      </c>
      <c r="U235" s="502"/>
      <c r="V235" s="502"/>
      <c r="W235" s="502"/>
      <c r="X235" s="139"/>
      <c r="Y235" s="140" t="str">
        <f>IF('Mon Entreprise'!I162="","NC",'Mon Entreprise'!I162)</f>
        <v>NC</v>
      </c>
      <c r="Z235" s="191"/>
      <c r="AA235" s="192"/>
      <c r="AB235" s="143" t="str">
        <f>IFERROR(IF('Mon Entreprise'!I162-'Mon Entreprise'!M124&lt;0,0,'Mon Entreprise'!I162-'Mon Entreprise'!M124),"NC")</f>
        <v>NC</v>
      </c>
      <c r="AC235" s="193"/>
      <c r="AD235" s="139"/>
      <c r="AE235" s="146" t="str">
        <f>IFERROR(1-'Mon Entreprise'!M124/'Mon Entreprise'!I162,"NC")</f>
        <v>NC</v>
      </c>
    </row>
    <row r="236" spans="2:31" ht="15.75" hidden="1" customHeight="1">
      <c r="B236" s="103"/>
      <c r="C236" s="387"/>
      <c r="D236" s="495"/>
      <c r="E236" s="496"/>
      <c r="F236" s="496"/>
      <c r="G236" s="496"/>
      <c r="H236" s="496"/>
      <c r="I236" s="496"/>
      <c r="J236" s="496"/>
      <c r="K236" s="496"/>
      <c r="L236" s="496"/>
      <c r="M236" s="496"/>
      <c r="N236" s="496"/>
      <c r="O236" s="497"/>
      <c r="P236" s="1"/>
      <c r="T236" s="14"/>
      <c r="U236" s="1"/>
      <c r="V236" s="1"/>
      <c r="W236" s="1"/>
      <c r="X236" s="1"/>
      <c r="Y236" s="1"/>
      <c r="Z236" s="1"/>
      <c r="AA236" s="1"/>
      <c r="AB236" s="1"/>
      <c r="AC236" s="1"/>
      <c r="AD236" s="1"/>
      <c r="AE236" s="13"/>
    </row>
    <row r="237" spans="2:31" ht="15.75" hidden="1" customHeight="1">
      <c r="B237" s="103"/>
      <c r="C237" s="387"/>
      <c r="D237" s="495"/>
      <c r="E237" s="496"/>
      <c r="F237" s="496"/>
      <c r="G237" s="496"/>
      <c r="H237" s="496"/>
      <c r="I237" s="496"/>
      <c r="J237" s="496"/>
      <c r="K237" s="496"/>
      <c r="L237" s="496"/>
      <c r="M237" s="496"/>
      <c r="N237" s="496"/>
      <c r="O237" s="497"/>
      <c r="P237" s="1"/>
      <c r="T237" s="14"/>
      <c r="AC237" s="1"/>
      <c r="AD237" s="1"/>
      <c r="AE237" s="13"/>
    </row>
    <row r="238" spans="2:31" ht="15.75" hidden="1" customHeight="1">
      <c r="B238" s="103"/>
      <c r="C238" s="387"/>
      <c r="D238" s="495"/>
      <c r="E238" s="496"/>
      <c r="F238" s="496"/>
      <c r="G238" s="496"/>
      <c r="H238" s="496"/>
      <c r="I238" s="496"/>
      <c r="J238" s="496"/>
      <c r="K238" s="496"/>
      <c r="L238" s="496"/>
      <c r="M238" s="496"/>
      <c r="N238" s="496"/>
      <c r="O238" s="497"/>
      <c r="P238" s="1"/>
      <c r="T238" s="14"/>
      <c r="AC238" s="1"/>
      <c r="AD238" s="1"/>
      <c r="AE238" s="13"/>
    </row>
    <row r="239" spans="2:31" ht="15.75" hidden="1" customHeight="1" thickBot="1">
      <c r="B239" s="103"/>
      <c r="C239" s="387"/>
      <c r="D239" s="498"/>
      <c r="E239" s="499"/>
      <c r="F239" s="499"/>
      <c r="G239" s="499"/>
      <c r="H239" s="499"/>
      <c r="I239" s="499"/>
      <c r="J239" s="499"/>
      <c r="K239" s="499"/>
      <c r="L239" s="499"/>
      <c r="M239" s="499"/>
      <c r="N239" s="499"/>
      <c r="O239" s="500"/>
      <c r="P239" s="1"/>
      <c r="T239" s="14"/>
      <c r="AC239" s="1"/>
      <c r="AD239" s="1"/>
      <c r="AE239" s="13"/>
    </row>
    <row r="240" spans="2:31" ht="16.5" hidden="1" customHeight="1">
      <c r="B240" s="103"/>
      <c r="C240" s="387"/>
      <c r="D240" s="60"/>
      <c r="E240" s="387"/>
      <c r="F240" s="387"/>
      <c r="G240" s="387"/>
      <c r="H240" s="387"/>
      <c r="I240" s="387"/>
      <c r="J240" s="387"/>
      <c r="K240" s="387"/>
      <c r="L240" s="387"/>
      <c r="M240" s="387"/>
      <c r="N240" s="387"/>
      <c r="O240" s="387"/>
      <c r="P240" s="1"/>
      <c r="T240" s="14"/>
      <c r="U240" s="1"/>
      <c r="V240" s="1"/>
      <c r="W240" s="1"/>
      <c r="X240" s="1"/>
      <c r="Y240" s="1"/>
      <c r="Z240" s="1"/>
      <c r="AA240" s="1"/>
      <c r="AB240" s="1"/>
      <c r="AC240" s="1"/>
      <c r="AD240" s="1"/>
      <c r="AE240" s="13"/>
    </row>
    <row r="241" spans="2:31" ht="15.75">
      <c r="B241" s="103"/>
      <c r="C241" s="78"/>
      <c r="D241" s="78"/>
      <c r="E241" s="78"/>
      <c r="F241" s="78"/>
      <c r="G241" s="78"/>
      <c r="H241" s="78"/>
      <c r="I241" s="78"/>
      <c r="J241" s="78"/>
      <c r="K241" s="78"/>
      <c r="L241" s="78"/>
      <c r="M241" s="78"/>
      <c r="N241" s="78"/>
      <c r="O241" s="78"/>
      <c r="P241" s="1"/>
      <c r="T241" s="14"/>
      <c r="U241" s="506" t="s">
        <v>72</v>
      </c>
      <c r="V241" s="506"/>
      <c r="W241" s="506"/>
      <c r="X241" s="506"/>
      <c r="Y241" s="506"/>
      <c r="Z241" s="1"/>
      <c r="AA241" s="14"/>
      <c r="AB241" s="385" t="str">
        <f>IF('Mon Entreprise'!K8&lt;=Annexes!Q26,"Oui","Non")</f>
        <v>Oui</v>
      </c>
      <c r="AC241" s="1"/>
      <c r="AD241" s="1"/>
      <c r="AE241" s="13"/>
    </row>
    <row r="242" spans="2:31" ht="15.75">
      <c r="B242" s="103"/>
      <c r="C242" s="387"/>
      <c r="D242" s="60"/>
      <c r="E242" s="387"/>
      <c r="F242" s="387"/>
      <c r="G242" s="387"/>
      <c r="H242" s="387"/>
      <c r="I242" s="387"/>
      <c r="J242" s="387"/>
      <c r="K242" s="387"/>
      <c r="L242" s="387"/>
      <c r="M242" s="387"/>
      <c r="N242" s="387"/>
      <c r="O242" s="387"/>
      <c r="P242" s="1"/>
      <c r="T242" s="14"/>
      <c r="U242" s="386"/>
      <c r="V242" s="506" t="s">
        <v>393</v>
      </c>
      <c r="W242" s="506"/>
      <c r="X242" s="506"/>
      <c r="Y242" s="506"/>
      <c r="Z242" s="1"/>
      <c r="AA242" s="14"/>
      <c r="AB242" s="385">
        <f>IF('Mon Entreprise'!K8&gt;=Annexes!O20,IF(Y233&gt;=Y235,Y233,Y235),IF(Y233&gt;=Y234,Y233,Y234))</f>
        <v>0</v>
      </c>
      <c r="AC242" s="1"/>
      <c r="AD242" s="1"/>
      <c r="AE242" s="13"/>
    </row>
    <row r="243" spans="2:31" ht="15.75">
      <c r="B243" s="103"/>
      <c r="C243" s="387" t="s">
        <v>310</v>
      </c>
      <c r="D243" s="60"/>
      <c r="E243" s="387"/>
      <c r="F243" s="387"/>
      <c r="G243" s="387"/>
      <c r="H243" s="387"/>
      <c r="I243" s="387"/>
      <c r="J243" s="387"/>
      <c r="K243" s="387"/>
      <c r="L243" s="387"/>
      <c r="M243" s="387"/>
      <c r="N243" s="387"/>
      <c r="O243" s="387"/>
      <c r="P243" s="1"/>
      <c r="T243" s="14"/>
      <c r="U243" s="506" t="s">
        <v>84</v>
      </c>
      <c r="V243" s="506"/>
      <c r="W243" s="506"/>
      <c r="X243" s="506"/>
      <c r="Y243" s="506"/>
      <c r="Z243" s="1"/>
      <c r="AA243" s="14"/>
      <c r="AB243" s="381">
        <f>IF('Mon Entreprise'!K8&gt;=Annexes!O20,IF(AB233&gt;=AB235,AB233,AB235),IF(AB233&gt;=AB234,AB233,AB234))</f>
        <v>0</v>
      </c>
      <c r="AC243" s="1"/>
      <c r="AD243" s="1"/>
      <c r="AE243" s="13"/>
    </row>
    <row r="244" spans="2:31" ht="15.75">
      <c r="B244" s="168"/>
      <c r="C244" s="387"/>
      <c r="D244" s="60" t="str">
        <f>IFERROR(IF('Mon Entreprise'!K8&gt;=Annexes!O20,IF(AB233&gt;=AB235,"Le CA de référence est celui de Février 2019, soit une perte de "&amp;ROUND(AB233,0)&amp;" €"&amp;" ==&gt; "&amp;ROUND(AE233*100,0)&amp;" %","Le CA de référence est celui de la création, soit une perte de "&amp;ROUND(AB235,0)&amp;" €"&amp;" ==&gt; "&amp;ROUND(AE235*100,0)&amp;" %"),IF(AB233&gt;=AB234,"Le CA de référence est celui de Février 2019, soit une perte de "&amp;ROUND(AB233,0)&amp;" €"&amp;" ==&gt; "&amp;ROUND(AE233*100,0)&amp;" %","Le CA de référence est celui de de l'exercice 2019, soit une perte de "&amp;ROUND(AB234,0)&amp;" €"&amp;" ==&gt; "&amp;ROUND(AE234*100,0)&amp;" %")),"")</f>
        <v>Le CA de référence est celui de Février 2019, soit une perte de 0 € ==&gt; 0 %</v>
      </c>
      <c r="E244" s="387"/>
      <c r="F244" s="387"/>
      <c r="G244" s="387"/>
      <c r="H244" s="387"/>
      <c r="I244" s="387"/>
      <c r="J244" s="387"/>
      <c r="K244" s="387"/>
      <c r="L244" s="387"/>
      <c r="M244" s="387"/>
      <c r="N244" s="387"/>
      <c r="O244" s="387"/>
      <c r="P244" s="1"/>
      <c r="T244" s="14"/>
      <c r="U244" s="506" t="s">
        <v>85</v>
      </c>
      <c r="V244" s="506"/>
      <c r="W244" s="506"/>
      <c r="X244" s="506"/>
      <c r="Y244" s="506"/>
      <c r="Z244" s="1"/>
      <c r="AA244" s="14"/>
      <c r="AB244" s="19">
        <f>IF('Mon Entreprise'!K8&gt;=Annexes!O20,IF(AB233&gt;=AB235,AE233,AE235),IF(AB233&gt;=AB234,AE233,AE234))</f>
        <v>0</v>
      </c>
      <c r="AC244" s="1"/>
      <c r="AD244" s="1"/>
      <c r="AE244" s="13"/>
    </row>
    <row r="245" spans="2:31" ht="16.5" thickBot="1">
      <c r="B245" s="103"/>
      <c r="C245" s="387"/>
      <c r="D245" s="60"/>
      <c r="E245" s="387"/>
      <c r="F245" s="387"/>
      <c r="G245" s="387"/>
      <c r="H245" s="387"/>
      <c r="I245" s="387"/>
      <c r="J245" s="387"/>
      <c r="K245" s="387"/>
      <c r="L245" s="387"/>
      <c r="M245" s="387"/>
      <c r="N245" s="387"/>
      <c r="O245" s="387"/>
      <c r="P245" s="1"/>
      <c r="T245" s="14"/>
      <c r="U245" s="1"/>
      <c r="V245" s="1"/>
      <c r="W245" s="1"/>
      <c r="X245" s="1"/>
      <c r="Y245" s="1"/>
      <c r="Z245" s="1"/>
      <c r="AA245" s="1"/>
      <c r="AB245" s="1"/>
      <c r="AC245" s="1"/>
      <c r="AD245" s="1"/>
      <c r="AE245" s="13"/>
    </row>
    <row r="246" spans="2:31" ht="15.75">
      <c r="B246" s="168"/>
      <c r="C246" s="387"/>
      <c r="D246" s="508" t="str">
        <f>IFERROR(IF(AB241="Non","Vous avez débuté votre activité après le 31 Octobre 2020, vous ne pouvez donc pas bénéficier de cette aide",IF(AB244&gt;=0.5,IF(AB243&gt;Annexes!O5,"Dans votre cas, l'aide est Plafonnée, à "&amp;Annexes!O5&amp;" € pour le mois de Février","Vous pouvez bénéficier, au titre de cette aide, d'un montant de "&amp;ROUND(AB243,0)&amp;" € pour le mois de Février"),"L'entreprise n'a pas une perte d'au moins 50 % en Février 2021")),"Vous n'avez pas indiqué de chiffre d'affaires de référence")</f>
        <v>L'entreprise n'a pas une perte d'au moins 50 % en Février 2021</v>
      </c>
      <c r="E246" s="509"/>
      <c r="F246" s="509"/>
      <c r="G246" s="509"/>
      <c r="H246" s="509"/>
      <c r="I246" s="509"/>
      <c r="J246" s="509"/>
      <c r="K246" s="509"/>
      <c r="L246" s="509"/>
      <c r="M246" s="509"/>
      <c r="N246" s="509"/>
      <c r="O246" s="510"/>
      <c r="P246" s="1"/>
      <c r="T246" s="14"/>
      <c r="U246" s="1"/>
      <c r="V246" s="1"/>
      <c r="W246" s="1"/>
      <c r="X246" s="1"/>
      <c r="Y246" s="1"/>
      <c r="Z246" s="1"/>
      <c r="AA246" s="1"/>
      <c r="AB246" s="1"/>
      <c r="AC246" s="1"/>
      <c r="AD246" s="1"/>
      <c r="AE246" s="13"/>
    </row>
    <row r="247" spans="2:31" ht="15.75" customHeight="1">
      <c r="B247" s="168"/>
      <c r="C247" s="387"/>
      <c r="D247" s="511"/>
      <c r="E247" s="512"/>
      <c r="F247" s="512"/>
      <c r="G247" s="512"/>
      <c r="H247" s="512"/>
      <c r="I247" s="512"/>
      <c r="J247" s="512"/>
      <c r="K247" s="512"/>
      <c r="L247" s="512"/>
      <c r="M247" s="512"/>
      <c r="N247" s="512"/>
      <c r="O247" s="513"/>
      <c r="P247" s="1"/>
      <c r="T247" s="14"/>
      <c r="U247" s="1"/>
      <c r="V247" s="1"/>
      <c r="W247" s="1"/>
      <c r="X247" s="1"/>
      <c r="Y247" s="1"/>
      <c r="Z247" s="1"/>
      <c r="AA247" s="1"/>
      <c r="AB247" s="1"/>
      <c r="AC247" s="1"/>
      <c r="AD247" s="1"/>
      <c r="AE247" s="13"/>
    </row>
    <row r="248" spans="2:31" ht="15.75" customHeight="1">
      <c r="B248" s="103"/>
      <c r="C248" s="387"/>
      <c r="D248" s="511"/>
      <c r="E248" s="512"/>
      <c r="F248" s="512"/>
      <c r="G248" s="512"/>
      <c r="H248" s="512"/>
      <c r="I248" s="512"/>
      <c r="J248" s="512"/>
      <c r="K248" s="512"/>
      <c r="L248" s="512"/>
      <c r="M248" s="512"/>
      <c r="N248" s="512"/>
      <c r="O248" s="513"/>
      <c r="P248" s="1"/>
      <c r="T248" s="14"/>
      <c r="U248" s="1"/>
      <c r="V248" s="1"/>
      <c r="W248" s="1"/>
      <c r="X248" s="1"/>
      <c r="Y248" s="1"/>
      <c r="Z248" s="1"/>
      <c r="AA248" s="1"/>
      <c r="AB248" s="1"/>
      <c r="AC248" s="1"/>
      <c r="AD248" s="1"/>
      <c r="AE248" s="13"/>
    </row>
    <row r="249" spans="2:31" ht="15.75" customHeight="1" thickBot="1">
      <c r="B249" s="103"/>
      <c r="C249" s="387"/>
      <c r="D249" s="514"/>
      <c r="E249" s="515"/>
      <c r="F249" s="515"/>
      <c r="G249" s="515"/>
      <c r="H249" s="515"/>
      <c r="I249" s="515"/>
      <c r="J249" s="515"/>
      <c r="K249" s="515"/>
      <c r="L249" s="515"/>
      <c r="M249" s="515"/>
      <c r="N249" s="515"/>
      <c r="O249" s="516"/>
      <c r="P249" s="1"/>
      <c r="T249" s="14"/>
      <c r="U249" s="1"/>
      <c r="V249" s="1"/>
      <c r="W249" s="1"/>
      <c r="X249" s="1"/>
      <c r="Y249" s="1"/>
      <c r="Z249" s="1"/>
      <c r="AA249" s="1"/>
      <c r="AB249" s="1"/>
      <c r="AC249" s="1"/>
      <c r="AD249" s="1"/>
      <c r="AE249" s="13"/>
    </row>
    <row r="250" spans="2:31" ht="16.5" customHeight="1">
      <c r="B250" s="103"/>
      <c r="C250" s="169"/>
      <c r="D250" s="517" t="s">
        <v>395</v>
      </c>
      <c r="E250" s="517"/>
      <c r="F250" s="517"/>
      <c r="G250" s="517"/>
      <c r="H250" s="517"/>
      <c r="I250" s="517"/>
      <c r="J250" s="517"/>
      <c r="K250" s="517"/>
      <c r="L250" s="517"/>
      <c r="M250" s="517"/>
      <c r="N250" s="517"/>
      <c r="O250" s="517"/>
      <c r="P250" s="1"/>
      <c r="T250" s="518" t="s">
        <v>4</v>
      </c>
      <c r="U250" s="519"/>
      <c r="V250" s="519"/>
      <c r="W250" s="519"/>
      <c r="X250" s="519"/>
      <c r="Y250" s="519"/>
      <c r="Z250" s="139"/>
      <c r="AA250" s="145"/>
      <c r="AB250" s="194">
        <f>IFERROR(IF('Mon Entreprise'!K8&gt;=Annexes!Q18,0,1-'Mon Entreprise'!M118/2/AB242),0)</f>
        <v>0</v>
      </c>
      <c r="AC250" s="1"/>
      <c r="AD250" s="1"/>
      <c r="AE250" s="13"/>
    </row>
    <row r="251" spans="2:31" ht="16.5" customHeight="1">
      <c r="B251" s="103"/>
      <c r="C251" s="387"/>
      <c r="D251" s="306"/>
      <c r="E251" s="306"/>
      <c r="F251" s="306"/>
      <c r="G251" s="306"/>
      <c r="H251" s="306"/>
      <c r="I251" s="306"/>
      <c r="J251" s="306"/>
      <c r="K251" s="306"/>
      <c r="L251" s="306"/>
      <c r="M251" s="306"/>
      <c r="N251" s="306"/>
      <c r="O251" s="306"/>
      <c r="P251" s="1"/>
      <c r="T251" s="110"/>
      <c r="U251" s="520" t="s">
        <v>102</v>
      </c>
      <c r="V251" s="520"/>
      <c r="W251" s="520"/>
      <c r="X251" s="520"/>
      <c r="Y251" s="520"/>
      <c r="Z251" s="139"/>
      <c r="AA251" s="145"/>
      <c r="AB251" s="194">
        <f>IFERROR(IF('Mon Entreprise'!K8&gt;Annexes!Q26,0,1-'Mon Entreprise'!M114/AB242),0)</f>
        <v>0</v>
      </c>
      <c r="AC251" s="1"/>
      <c r="AD251" s="1"/>
      <c r="AE251" s="13"/>
    </row>
    <row r="252" spans="2:31" ht="16.5" customHeight="1">
      <c r="B252" s="103"/>
      <c r="C252" s="505" t="s">
        <v>421</v>
      </c>
      <c r="D252" s="505"/>
      <c r="E252" s="505"/>
      <c r="F252" s="505"/>
      <c r="G252" s="505"/>
      <c r="H252" s="505"/>
      <c r="I252" s="505"/>
      <c r="J252" s="505"/>
      <c r="K252" s="505"/>
      <c r="L252" s="505"/>
      <c r="M252" s="505"/>
      <c r="N252" s="505"/>
      <c r="O252" s="505"/>
      <c r="P252" s="1"/>
      <c r="T252" s="110"/>
      <c r="U252" s="520" t="s">
        <v>109</v>
      </c>
      <c r="V252" s="520"/>
      <c r="W252" s="520"/>
      <c r="X252" s="520"/>
      <c r="Y252" s="520"/>
      <c r="Z252" s="139"/>
      <c r="AA252" s="145"/>
      <c r="AB252" s="194">
        <f>IFERROR(IF(Annexes!O27&gt;'Mon Entreprise'!K8,1-'Mon Entreprise'!M98/'Mon Entreprise'!I98,0),0)</f>
        <v>0</v>
      </c>
      <c r="AC252" s="1"/>
      <c r="AD252" s="1"/>
      <c r="AE252" s="13"/>
    </row>
    <row r="253" spans="2:31" ht="16.5" customHeight="1">
      <c r="B253" s="103"/>
      <c r="C253" s="505"/>
      <c r="D253" s="505"/>
      <c r="E253" s="505"/>
      <c r="F253" s="505"/>
      <c r="G253" s="505"/>
      <c r="H253" s="505"/>
      <c r="I253" s="505"/>
      <c r="J253" s="505"/>
      <c r="K253" s="505"/>
      <c r="L253" s="505"/>
      <c r="M253" s="505"/>
      <c r="N253" s="505"/>
      <c r="O253" s="505"/>
      <c r="P253" s="1"/>
      <c r="T253" s="110"/>
      <c r="U253" s="382"/>
      <c r="V253" s="382"/>
      <c r="W253" s="382"/>
      <c r="X253" s="382"/>
      <c r="Y253" s="382"/>
      <c r="Z253" s="139"/>
      <c r="AA253" s="145"/>
      <c r="AB253" s="194"/>
      <c r="AC253" s="1"/>
      <c r="AD253" s="1"/>
      <c r="AE253" s="13"/>
    </row>
    <row r="254" spans="2:31" ht="16.5" customHeight="1">
      <c r="B254" s="103"/>
      <c r="C254" s="505"/>
      <c r="D254" s="505"/>
      <c r="E254" s="505"/>
      <c r="F254" s="505"/>
      <c r="G254" s="505"/>
      <c r="H254" s="505"/>
      <c r="I254" s="505"/>
      <c r="J254" s="505"/>
      <c r="K254" s="505"/>
      <c r="L254" s="505"/>
      <c r="M254" s="505"/>
      <c r="N254" s="505"/>
      <c r="O254" s="505"/>
      <c r="P254" s="1"/>
      <c r="T254" s="14"/>
      <c r="U254" s="521" t="s">
        <v>8</v>
      </c>
      <c r="V254" s="521"/>
      <c r="W254" s="521"/>
      <c r="X254" s="521"/>
      <c r="Y254" s="521"/>
      <c r="Z254" s="1"/>
      <c r="AA254" s="14"/>
      <c r="AB254" s="381" t="str">
        <f>IF((AND(Annexes!F5&gt;1,Annexes!F5&lt;=Annexes!H6)),"OUI","NON")</f>
        <v>NON</v>
      </c>
      <c r="AC254" s="1"/>
      <c r="AD254" s="1"/>
      <c r="AE254" s="13"/>
    </row>
    <row r="255" spans="2:31" ht="16.5" customHeight="1">
      <c r="B255" s="103"/>
      <c r="C255" s="505"/>
      <c r="D255" s="505"/>
      <c r="E255" s="505"/>
      <c r="F255" s="505"/>
      <c r="G255" s="505"/>
      <c r="H255" s="505"/>
      <c r="I255" s="505"/>
      <c r="J255" s="505"/>
      <c r="K255" s="505"/>
      <c r="L255" s="505"/>
      <c r="M255" s="505"/>
      <c r="N255" s="505"/>
      <c r="O255" s="505"/>
      <c r="P255" s="1"/>
      <c r="T255" s="14"/>
      <c r="U255" s="383"/>
      <c r="V255" s="383"/>
      <c r="W255" s="383"/>
      <c r="X255" s="383"/>
      <c r="Y255" s="383" t="s">
        <v>9</v>
      </c>
      <c r="Z255" s="1"/>
      <c r="AA255" s="14"/>
      <c r="AB255" s="381" t="str">
        <f>IF(AND(Annexes!F7&gt;1,Annexes!F7&lt;=Annexes!H8),"OUI","NON")</f>
        <v>NON</v>
      </c>
      <c r="AC255" s="1"/>
      <c r="AD255" s="1"/>
      <c r="AE255" s="13"/>
    </row>
    <row r="256" spans="2:31" ht="16.5" customHeight="1">
      <c r="B256" s="103"/>
      <c r="C256" s="387"/>
      <c r="D256" s="306"/>
      <c r="E256" s="417" t="str">
        <f>IF('Mon Entreprise'!K8&gt;Annexes!Q24,"",IF(OR(AB254="OUI",AND(OR(AB256="OUI",AB257="OUI",AB255="OUI"),OR(AB250&gt;=Annexes!P5,AB251&gt;=Annexes!P5,'Mes Aides'!AB145&gt;=0.1)),AB258=TRUE),"",IF(AND(OR(AB256="OUI",AB257="OUI",AB255="OUI"),OR(AB250&lt;Annexes!P5,AB251&lt;Annexes!P5,'Mes Aides'!AB198&lt;0.1)),"L'entreprise fait partie des entreprises mentionnées en annexe 2 ou 3 du décret mais n'a pas eu une perte de CA d'au-Moins 80 %, entre le 15/03/2020 et le 15/05/2020, Novembre 2020 ou 10 % entre 2019 et 2020","L'entreprise ne fait pas partie des entreprises ayant une fermeture administrative avec 20 % de perte et ne fait pas partie des activités mentionnées aux annexes 1, 2 et 3 ou dans un centre commercial du décret ayant une perte significative")))</f>
        <v>L'entreprise ne fait pas partie des entreprises ayant une fermeture administrative avec 20 % de perte et ne fait pas partie des activités mentionnées aux annexes 1, 2 et 3 ou dans un centre commercial du décret ayant une perte significative</v>
      </c>
      <c r="F256" s="417"/>
      <c r="G256" s="417"/>
      <c r="H256" s="417"/>
      <c r="I256" s="417"/>
      <c r="J256" s="417"/>
      <c r="K256" s="417"/>
      <c r="L256" s="417"/>
      <c r="M256" s="417"/>
      <c r="N256" s="417"/>
      <c r="O256" s="417"/>
      <c r="P256" s="1"/>
      <c r="T256" s="491" t="s">
        <v>415</v>
      </c>
      <c r="U256" s="490"/>
      <c r="V256" s="490"/>
      <c r="W256" s="490"/>
      <c r="X256" s="490"/>
      <c r="Y256" s="490"/>
      <c r="Z256" s="1"/>
      <c r="AA256" s="14"/>
      <c r="AB256" s="381" t="str">
        <f>IF(OR(Annexes!M17=TRUE,Annexes!M23=TRUE),"OUI","NON")</f>
        <v>NON</v>
      </c>
      <c r="AC256" s="1"/>
      <c r="AD256" s="1"/>
      <c r="AE256" s="13"/>
    </row>
    <row r="257" spans="1:31" ht="16.5" customHeight="1">
      <c r="B257" s="103"/>
      <c r="C257" s="387"/>
      <c r="D257" s="306"/>
      <c r="E257" s="417"/>
      <c r="F257" s="417"/>
      <c r="G257" s="417"/>
      <c r="H257" s="417"/>
      <c r="I257" s="417"/>
      <c r="J257" s="417"/>
      <c r="K257" s="417"/>
      <c r="L257" s="417"/>
      <c r="M257" s="417"/>
      <c r="N257" s="417"/>
      <c r="O257" s="417"/>
      <c r="P257" s="1"/>
      <c r="T257" s="384"/>
      <c r="U257" s="490" t="s">
        <v>305</v>
      </c>
      <c r="V257" s="490"/>
      <c r="W257" s="490"/>
      <c r="X257" s="490"/>
      <c r="Y257" s="490"/>
      <c r="Z257" s="1"/>
      <c r="AA257" s="14"/>
      <c r="AB257" s="381" t="str">
        <f>IF(OR(Annexes!M17=TRUE,Annexes!M23=TRUE),"OUI","NON")</f>
        <v>NON</v>
      </c>
      <c r="AC257" s="1"/>
      <c r="AD257" s="1"/>
      <c r="AE257" s="13"/>
    </row>
    <row r="258" spans="1:31" ht="16.5" customHeight="1">
      <c r="B258" s="168"/>
      <c r="C258" s="387"/>
      <c r="D258" s="306"/>
      <c r="E258" s="417"/>
      <c r="F258" s="417"/>
      <c r="G258" s="417"/>
      <c r="H258" s="417"/>
      <c r="I258" s="417"/>
      <c r="J258" s="417"/>
      <c r="K258" s="417"/>
      <c r="L258" s="417"/>
      <c r="M258" s="417"/>
      <c r="N258" s="417"/>
      <c r="O258" s="417"/>
      <c r="P258" s="1"/>
      <c r="T258" s="14"/>
      <c r="U258" s="490" t="s">
        <v>313</v>
      </c>
      <c r="V258" s="490"/>
      <c r="W258" s="490"/>
      <c r="X258" s="490"/>
      <c r="Y258" s="490"/>
      <c r="Z258" s="1"/>
      <c r="AA258" s="14"/>
      <c r="AB258" s="381" t="b">
        <f>IF(Annexes!M21=TRUE,TRUE,FALSE)</f>
        <v>0</v>
      </c>
      <c r="AC258" s="1"/>
      <c r="AD258" s="1"/>
      <c r="AE258" s="13"/>
    </row>
    <row r="259" spans="1:31" ht="16.5" customHeight="1">
      <c r="A259" s="99"/>
      <c r="B259" s="103"/>
      <c r="C259" s="387"/>
      <c r="D259" s="523" t="str">
        <f>IFERROR(IF('Mon Entreprise'!K8&gt;=Annexes!O20,IF(AB233&gt;=AB235,"- Le CA de référence est celui de Février 2019, soit une perte de "&amp;ROUND(AB233,0)&amp;" €"&amp;" ==&gt; "&amp;ROUND(AE233*100,0)&amp;" %","- Le CA de référence est celui de la création, soit une perte de "&amp;ROUND(AB235,0)&amp;" €"&amp;" ==&gt; "&amp;ROUND(AE235*100,0)&amp;" %"),IF(AB233&gt;=AB234,"- Le CA de référence est celui de Février 2019, soit une perte de "&amp;ROUND(AB233,0)&amp;" €"&amp;" ==&gt; "&amp;ROUND(AE233*100,0)&amp;" %","- Le CA de référence est celui de l'exercice 2019, soit une perte de "&amp;ROUND(AB234,0)&amp;" €"&amp;" ==&gt; "&amp;ROUND(AE234*100,0)&amp;" %")),"")</f>
        <v>- Le CA de référence est celui de Février 2019, soit une perte de 0 € ==&gt; 0 %</v>
      </c>
      <c r="E259" s="523"/>
      <c r="F259" s="523"/>
      <c r="G259" s="523"/>
      <c r="H259" s="523"/>
      <c r="I259" s="523"/>
      <c r="J259" s="523"/>
      <c r="K259" s="523"/>
      <c r="L259" s="523"/>
      <c r="M259" s="523"/>
      <c r="N259" s="523"/>
      <c r="O259" s="523"/>
      <c r="P259" s="1"/>
      <c r="T259" s="14"/>
      <c r="U259" s="525" t="s">
        <v>72</v>
      </c>
      <c r="V259" s="525"/>
      <c r="W259" s="525"/>
      <c r="X259" s="525"/>
      <c r="Y259" s="525"/>
      <c r="Z259" s="139"/>
      <c r="AA259" s="145"/>
      <c r="AB259" s="385" t="str">
        <f>IF('Mon Entreprise'!K8&lt;=Annexes!Q26,"Oui","Non")</f>
        <v>Oui</v>
      </c>
      <c r="AC259" s="139"/>
      <c r="AD259" s="1"/>
      <c r="AE259" s="13"/>
    </row>
    <row r="260" spans="1:31" ht="16.5" customHeight="1">
      <c r="B260" s="103"/>
      <c r="C260" s="387"/>
      <c r="D260" s="215" t="str">
        <f>IF(OR(AB254="OUI",AB258=TRUE),"- Sans ticket modérateur",IF(AND(OR(AB256="OUI",AB255="OUI"),OR(AB250&gt;=0.8,AB251&gt;=0.8,AB252&gt;=0.1)),"- La Perte de référence est plafonnée à 80 %, soit "&amp;ROUND(AB264,0)&amp;" €","- Sans ticket modérateur"))</f>
        <v>- Sans ticket modérateur</v>
      </c>
      <c r="E260" s="377"/>
      <c r="F260" s="377"/>
      <c r="G260" s="377"/>
      <c r="H260" s="377"/>
      <c r="I260" s="377"/>
      <c r="J260" s="377"/>
      <c r="K260" s="377"/>
      <c r="L260" s="377"/>
      <c r="M260" s="377"/>
      <c r="N260" s="377"/>
      <c r="O260" s="377"/>
      <c r="P260" s="1"/>
      <c r="T260" s="14"/>
      <c r="U260" s="525" t="s">
        <v>84</v>
      </c>
      <c r="V260" s="525"/>
      <c r="W260" s="525"/>
      <c r="X260" s="525"/>
      <c r="Y260" s="525"/>
      <c r="Z260" s="139"/>
      <c r="AA260" s="145"/>
      <c r="AB260" s="385">
        <f>IF('Mon Entreprise'!K8&gt;=Annexes!O20,IF(AB233&gt;=AB235,AB233,AB235),IF(AB233&gt;=AB234,AB233,AB234))</f>
        <v>0</v>
      </c>
      <c r="AC260" s="139"/>
      <c r="AD260" s="1"/>
      <c r="AE260" s="13"/>
    </row>
    <row r="261" spans="1:31" ht="16.5" customHeight="1" thickBot="1">
      <c r="B261" s="103"/>
      <c r="C261" s="387"/>
      <c r="D261" s="377"/>
      <c r="E261" s="377"/>
      <c r="F261" s="377"/>
      <c r="G261" s="377"/>
      <c r="H261" s="377"/>
      <c r="I261" s="377"/>
      <c r="J261" s="377"/>
      <c r="K261" s="377"/>
      <c r="L261" s="377"/>
      <c r="M261" s="377"/>
      <c r="N261" s="377"/>
      <c r="O261" s="377"/>
      <c r="P261" s="1"/>
      <c r="T261" s="14"/>
      <c r="U261" s="525" t="s">
        <v>85</v>
      </c>
      <c r="V261" s="525"/>
      <c r="W261" s="525"/>
      <c r="X261" s="525"/>
      <c r="Y261" s="525"/>
      <c r="Z261" s="139"/>
      <c r="AA261" s="145"/>
      <c r="AB261" s="385">
        <f>IF('Mon Entreprise'!K8&gt;=Annexes!O20,IF(AB233&gt;=AB235,AE233,AE235),IF(AB233&gt;=AB234,AE233,AE234))</f>
        <v>0</v>
      </c>
      <c r="AC261" s="139"/>
      <c r="AD261" s="1"/>
      <c r="AE261" s="13"/>
    </row>
    <row r="262" spans="1:31" ht="16.5" customHeight="1">
      <c r="B262" s="103"/>
      <c r="C262" s="387"/>
      <c r="D262" s="508" t="str">
        <f>IFERROR(IF('Mon Entreprise'!K8&gt;Annexes!Q26,"Vous avez débuté votre activité après le 31 Octobre 2020, vous ne pouvez donc pas bénéficier de cette aide",IF(AB258=TRUE,IF(AB264&gt;Annexes!O6,"Dans votre cas, l'aide est Plafonnée, à "&amp;Annexes!O6&amp;" € pour le mois de Février","Vous pouvez bénéficier, au titre de cette aide, d'un montant de "&amp;ROUND(AB264,0)&amp;" € pour le mois de Février"),IF(AB261&gt;=0.5,IF(OR(AB254="OUI",AND(OR(AB256="OUI",AB255="OUI"),OR(AB250&gt;=Annexes!P5,AB251&gt;=Annexes!P5,AB252&gt;=0.1))),IF(AB264&gt;Annexes!O6,"Dans votre cas, l'aide est Plafonnée, à "&amp;Annexes!O6&amp;" € pour le mois de Février","Vous pouvez bénéficier, au titre de cette aide, d'un montant de "&amp;ROUND(AB264,0)&amp;" € pour le mois de Février"),IF(AND(OR(AB256="OUI",AB255="OUI"),OR(AB250&lt;Annexes!P5,AB251&lt;Annexes!P5)),"L'entreprise fait partie des entreprises mentionnées en annexe 2 ou 3 ou dans un centre commercial du décret, mais n'a pas eu une perte de CA d'au-Moins 80 % entre le 15/03/2020 et le 15/05/2020 "&amp;"ou au mois de Novembre 2020 ou 10 % de perte entre 2019 et 2020","L'entreprise ne fait pas partie des entreprises"&amp;" ayant une fermeture administrative avec une perte de 20 % de CA et ne fait pas partie des activités mentionnées aux annexes 1, 2 et 3 ou dans un centre commercial du décret")),"L'entreprise n'a pas une perte d'au moins 50 % en Février 2021"))),"Vous n'avez pas indiqué de chiffre d'affaires de référence")</f>
        <v>L'entreprise n'a pas une perte d'au moins 50 % en Février 2021</v>
      </c>
      <c r="E262" s="509"/>
      <c r="F262" s="509"/>
      <c r="G262" s="509"/>
      <c r="H262" s="509"/>
      <c r="I262" s="509"/>
      <c r="J262" s="509"/>
      <c r="K262" s="509"/>
      <c r="L262" s="509"/>
      <c r="M262" s="509"/>
      <c r="N262" s="509"/>
      <c r="O262" s="510"/>
      <c r="P262" s="1"/>
      <c r="T262" s="14"/>
      <c r="U262" s="502" t="s">
        <v>74</v>
      </c>
      <c r="V262" s="502"/>
      <c r="W262" s="502"/>
      <c r="X262" s="502"/>
      <c r="Y262" s="502"/>
      <c r="Z262" s="139"/>
      <c r="AA262" s="145"/>
      <c r="AB262" s="385">
        <f>IF(OR(AB254="OUI",AB258=TRUE),1,IF(AND(OR(AB256="OUI",AB255="OUI"),OR(AB250&gt;=0.8,AB251&gt;=0.8,AB252&gt;=0.1)),0.8,1))</f>
        <v>1</v>
      </c>
      <c r="AC262" s="139"/>
      <c r="AD262" s="1"/>
      <c r="AE262" s="13"/>
    </row>
    <row r="263" spans="1:31" ht="16.5" customHeight="1">
      <c r="B263" s="173"/>
      <c r="C263" s="387"/>
      <c r="D263" s="511"/>
      <c r="E263" s="512"/>
      <c r="F263" s="512"/>
      <c r="G263" s="512"/>
      <c r="H263" s="512"/>
      <c r="I263" s="512"/>
      <c r="J263" s="512"/>
      <c r="K263" s="512"/>
      <c r="L263" s="512"/>
      <c r="M263" s="512"/>
      <c r="N263" s="512"/>
      <c r="O263" s="513"/>
      <c r="P263" s="1"/>
      <c r="T263" s="14"/>
      <c r="U263" s="502" t="s">
        <v>80</v>
      </c>
      <c r="V263" s="502"/>
      <c r="W263" s="502"/>
      <c r="X263" s="502"/>
      <c r="Y263" s="502"/>
      <c r="Z263" s="139"/>
      <c r="AA263" s="145"/>
      <c r="AB263" s="385">
        <f>IF('Mon Entreprise'!K8&gt;=Annexes!O20,IF(AB233&gt;=AB235,Y233,Y235),IF(AB233&gt;=AB234,Y233,Y234))</f>
        <v>0</v>
      </c>
      <c r="AC263" s="139"/>
      <c r="AD263" s="1"/>
      <c r="AE263" s="13"/>
    </row>
    <row r="264" spans="1:31" ht="16.5" customHeight="1">
      <c r="B264" s="103"/>
      <c r="C264" s="387"/>
      <c r="D264" s="511"/>
      <c r="E264" s="512"/>
      <c r="F264" s="512"/>
      <c r="G264" s="512"/>
      <c r="H264" s="512"/>
      <c r="I264" s="512"/>
      <c r="J264" s="512"/>
      <c r="K264" s="512"/>
      <c r="L264" s="512"/>
      <c r="M264" s="512"/>
      <c r="N264" s="512"/>
      <c r="O264" s="513"/>
      <c r="P264" s="1"/>
      <c r="T264" s="14"/>
      <c r="U264" s="490" t="s">
        <v>104</v>
      </c>
      <c r="V264" s="490"/>
      <c r="W264" s="490"/>
      <c r="X264" s="490"/>
      <c r="Y264" s="490"/>
      <c r="Z264" s="1"/>
      <c r="AA264" s="14"/>
      <c r="AB264" s="381">
        <f>IF(AB262=1,AB260,IF(AB260*AB262&gt;1500,IF(AB260&gt;1500,AB260*AB262,"Impossible"),IF(AB260&lt;1500,AB260,1500)))</f>
        <v>0</v>
      </c>
      <c r="AC264" s="1"/>
      <c r="AD264" s="1"/>
      <c r="AE264" s="13"/>
    </row>
    <row r="265" spans="1:31" ht="16.5" customHeight="1" thickBot="1">
      <c r="B265" s="103"/>
      <c r="C265" s="387"/>
      <c r="D265" s="514"/>
      <c r="E265" s="515"/>
      <c r="F265" s="515"/>
      <c r="G265" s="515"/>
      <c r="H265" s="515"/>
      <c r="I265" s="515"/>
      <c r="J265" s="515"/>
      <c r="K265" s="515"/>
      <c r="L265" s="515"/>
      <c r="M265" s="515"/>
      <c r="N265" s="515"/>
      <c r="O265" s="516"/>
      <c r="P265" s="1"/>
      <c r="T265" s="14"/>
      <c r="U265" s="381"/>
      <c r="V265" s="381"/>
      <c r="W265" s="381"/>
      <c r="X265" s="381"/>
      <c r="Y265" s="381"/>
      <c r="Z265" s="1"/>
      <c r="AA265" s="1"/>
      <c r="AB265" s="1"/>
      <c r="AC265" s="1"/>
      <c r="AD265" s="1"/>
      <c r="AE265" s="13"/>
    </row>
    <row r="266" spans="1:31" ht="16.5" customHeight="1">
      <c r="B266" s="103"/>
      <c r="C266" s="169"/>
      <c r="D266" s="174"/>
      <c r="E266" s="174"/>
      <c r="F266" s="174"/>
      <c r="G266" s="174"/>
      <c r="H266" s="174"/>
      <c r="I266" s="174"/>
      <c r="J266" s="174"/>
      <c r="K266" s="174"/>
      <c r="L266" s="174"/>
      <c r="M266" s="174"/>
      <c r="N266" s="174"/>
      <c r="O266" s="174"/>
      <c r="P266" s="1"/>
      <c r="T266" s="14"/>
      <c r="U266" s="490"/>
      <c r="V266" s="490"/>
      <c r="W266" s="490"/>
      <c r="X266" s="490"/>
      <c r="Y266" s="490"/>
      <c r="Z266" s="1"/>
      <c r="AA266" s="1"/>
      <c r="AB266" s="1"/>
      <c r="AC266" s="1"/>
      <c r="AD266" s="1"/>
      <c r="AE266" s="13"/>
    </row>
    <row r="267" spans="1:31" ht="16.5" customHeight="1">
      <c r="B267" s="103"/>
      <c r="C267" s="387"/>
      <c r="D267" s="377"/>
      <c r="E267" s="377"/>
      <c r="F267" s="377"/>
      <c r="G267" s="377"/>
      <c r="H267" s="377"/>
      <c r="I267" s="377"/>
      <c r="J267" s="377"/>
      <c r="K267" s="377"/>
      <c r="L267" s="377"/>
      <c r="M267" s="377"/>
      <c r="N267" s="377"/>
      <c r="O267" s="377"/>
      <c r="P267" s="1"/>
      <c r="T267" s="14"/>
      <c r="U267" s="381"/>
      <c r="V267" s="381"/>
      <c r="W267" s="381"/>
      <c r="X267" s="381"/>
      <c r="Y267" s="381"/>
      <c r="Z267" s="1"/>
      <c r="AA267" s="1"/>
      <c r="AB267" s="1"/>
      <c r="AC267" s="1"/>
      <c r="AD267" s="1"/>
      <c r="AE267" s="13"/>
    </row>
    <row r="268" spans="1:31" ht="16.5" customHeight="1">
      <c r="B268" s="103"/>
      <c r="C268" s="529" t="s">
        <v>420</v>
      </c>
      <c r="D268" s="529"/>
      <c r="E268" s="529"/>
      <c r="F268" s="529"/>
      <c r="G268" s="529"/>
      <c r="H268" s="529"/>
      <c r="I268" s="529"/>
      <c r="J268" s="529"/>
      <c r="K268" s="529"/>
      <c r="L268" s="529"/>
      <c r="M268" s="529"/>
      <c r="N268" s="529"/>
      <c r="O268" s="529"/>
      <c r="P268" s="1"/>
      <c r="T268" s="14"/>
      <c r="U268" s="1"/>
      <c r="V268" s="1"/>
      <c r="W268" s="1"/>
      <c r="X268" s="1"/>
      <c r="Y268" s="1"/>
      <c r="Z268" s="1"/>
      <c r="AA268" s="1"/>
      <c r="AB268" s="1"/>
      <c r="AC268" s="1"/>
      <c r="AD268" s="1"/>
      <c r="AE268" s="13"/>
    </row>
    <row r="269" spans="1:31" ht="16.5" customHeight="1">
      <c r="B269" s="103"/>
      <c r="C269" s="529"/>
      <c r="D269" s="529"/>
      <c r="E269" s="529"/>
      <c r="F269" s="529"/>
      <c r="G269" s="529"/>
      <c r="H269" s="529"/>
      <c r="I269" s="529"/>
      <c r="J269" s="529"/>
      <c r="K269" s="529"/>
      <c r="L269" s="529"/>
      <c r="M269" s="529"/>
      <c r="N269" s="529"/>
      <c r="O269" s="529"/>
      <c r="P269" s="1"/>
      <c r="T269" s="14"/>
      <c r="U269" s="1"/>
      <c r="V269" s="1"/>
      <c r="W269" s="1"/>
      <c r="X269" s="1"/>
      <c r="Y269" s="1"/>
      <c r="Z269" s="1"/>
      <c r="AA269" s="1"/>
      <c r="AB269" s="1"/>
      <c r="AC269" s="1"/>
      <c r="AD269" s="1"/>
      <c r="AE269" s="13"/>
    </row>
    <row r="270" spans="1:31" ht="16.5" customHeight="1">
      <c r="B270" s="103"/>
      <c r="C270" s="529"/>
      <c r="D270" s="529"/>
      <c r="E270" s="529"/>
      <c r="F270" s="529"/>
      <c r="G270" s="529"/>
      <c r="H270" s="529"/>
      <c r="I270" s="529"/>
      <c r="J270" s="529"/>
      <c r="K270" s="529"/>
      <c r="L270" s="529"/>
      <c r="M270" s="529"/>
      <c r="N270" s="529"/>
      <c r="O270" s="529"/>
      <c r="P270" s="1"/>
      <c r="T270" s="14"/>
      <c r="U270" s="1"/>
      <c r="V270" s="1"/>
      <c r="W270" s="1"/>
      <c r="X270" s="1"/>
      <c r="Y270" s="1"/>
      <c r="Z270" s="1"/>
      <c r="AA270" s="1"/>
      <c r="AB270" s="1"/>
      <c r="AC270" s="1"/>
      <c r="AD270" s="1"/>
      <c r="AE270" s="13"/>
    </row>
    <row r="271" spans="1:31" ht="16.5" customHeight="1">
      <c r="B271" s="173"/>
      <c r="C271" s="529"/>
      <c r="D271" s="529"/>
      <c r="E271" s="529"/>
      <c r="F271" s="529"/>
      <c r="G271" s="529"/>
      <c r="H271" s="529"/>
      <c r="I271" s="529"/>
      <c r="J271" s="529"/>
      <c r="K271" s="529"/>
      <c r="L271" s="529"/>
      <c r="M271" s="529"/>
      <c r="N271" s="529"/>
      <c r="O271" s="529"/>
      <c r="P271" s="1"/>
      <c r="T271" s="14"/>
      <c r="U271" s="502" t="s">
        <v>82</v>
      </c>
      <c r="V271" s="502"/>
      <c r="W271" s="502"/>
      <c r="X271" s="502"/>
      <c r="Y271" s="502"/>
      <c r="Z271" s="68"/>
      <c r="AA271" s="1"/>
      <c r="AB271" s="1">
        <f>IFERROR(IF(AB241="Non",0,IF(AB244&gt;=0.5,IF(AB243&gt;Annexes!O5,Annexes!O5,ROUND(AB243,0)),0)),0)</f>
        <v>0</v>
      </c>
      <c r="AC271" s="1"/>
      <c r="AD271" s="1"/>
      <c r="AE271" s="13"/>
    </row>
    <row r="272" spans="1:31" ht="16.5" customHeight="1">
      <c r="B272" s="173"/>
      <c r="C272" s="387"/>
      <c r="D272" s="306"/>
      <c r="E272" s="523" t="str">
        <f>IF('Mon Entreprise'!K8&gt;Annexes!Q24,"",IF(OR(AB254="OUI",AND(OR(AB256="OUI",AB255="OUI"),OR(AB250&gt;=Annexes!P5,AB251&gt;=Annexes!P5,'Mes Aides'!AB145&gt;=0.1)),AB258=TRUE),"",IF(AND(OR(AB256="OUI",AB255="OUI"),OR(AB250&lt;Annexes!P5,AB251&lt;Annexes!P5,'Mes Aides'!AB145&lt;0.1)),"L'entreprise fait partie des entreprises mentionnées en annexe 2 ou 3 ou dans un centre commercial du décret mais n'a pas eu une perte de CA d'au-Moins 80 %, entre le 15/03/2020 et le 15/05/2020, Novembre 2020 ou 10 % entre 2019 et 2020","L'entreprise ne fait pas partie des entreprises ayant une fermeture administrative avec une perte de 20 % de CA et ne fait pas partie des activités mentionnées aux annexes 1, 2 et 3 ou dans un centre commercial du décret")))</f>
        <v>L'entreprise ne fait pas partie des entreprises ayant une fermeture administrative avec une perte de 20 % de CA et ne fait pas partie des activités mentionnées aux annexes 1, 2 et 3 ou dans un centre commercial du décret</v>
      </c>
      <c r="F272" s="523"/>
      <c r="G272" s="523"/>
      <c r="H272" s="523"/>
      <c r="I272" s="523"/>
      <c r="J272" s="523"/>
      <c r="K272" s="523"/>
      <c r="L272" s="523"/>
      <c r="M272" s="523"/>
      <c r="N272" s="523"/>
      <c r="O272" s="523"/>
      <c r="P272" s="1"/>
      <c r="T272" s="14"/>
      <c r="U272" s="502" t="s">
        <v>81</v>
      </c>
      <c r="V272" s="502"/>
      <c r="W272" s="502"/>
      <c r="X272" s="502"/>
      <c r="Y272" s="502"/>
      <c r="Z272" s="68"/>
      <c r="AA272" s="1"/>
      <c r="AB272" s="1">
        <f>IFERROR(IF('Mon Entreprise'!K8&gt;Annexes!Q26,0,IF(AB258=TRUE,IF(AB264&gt;Annexes!O6,Annexes!O6,ROUND(AB264,0)),IF(AB261&gt;=0.5,IF(OR(AB254="OUI",AND(OR(AB256="OUI",AB255="OUI"),OR(AB250&gt;=Annexes!P5,AB251&gt;=Annexes!P5,AB252&gt;=0.1))),IF(AB264&gt;Annexes!O6,Annexes!O6,ROUND(AB264,0)),IF(AND(OR(AB256="OUI",AB255="OUI"),OR(AB250&lt;Annexes!P5,AB251&lt;Annexes!P5)),0,0)),0))),0)</f>
        <v>0</v>
      </c>
      <c r="AC272" s="1"/>
      <c r="AD272" s="1"/>
      <c r="AE272" s="13"/>
    </row>
    <row r="273" spans="2:31" ht="15" customHeight="1">
      <c r="B273" s="173"/>
      <c r="C273" s="387"/>
      <c r="D273" s="306"/>
      <c r="E273" s="523"/>
      <c r="F273" s="523"/>
      <c r="G273" s="523"/>
      <c r="H273" s="523"/>
      <c r="I273" s="523"/>
      <c r="J273" s="523"/>
      <c r="K273" s="523"/>
      <c r="L273" s="523"/>
      <c r="M273" s="523"/>
      <c r="N273" s="523"/>
      <c r="O273" s="523"/>
      <c r="P273" s="1"/>
      <c r="T273" s="14"/>
      <c r="U273" s="502" t="s">
        <v>399</v>
      </c>
      <c r="V273" s="502"/>
      <c r="W273" s="502"/>
      <c r="X273" s="502"/>
      <c r="Y273" s="502"/>
      <c r="Z273" s="68"/>
      <c r="AA273" s="1"/>
      <c r="AB273" s="1">
        <f>IFERROR(IF('Mon Entreprise'!K8&gt;Annexes!Q26,0,IF(AB258=TRUE,IF(AB263=0,0,IF(AB260&lt;AB263*0.2,ROUND(AB260,0),IF(AB263*0.2&gt;=200000,Annexes!O8,ROUND(AB263*0.2,0)))),IF(OR(AB254="OUI",AND(AB255="OUI",OR(AB250&gt;=0.8,AB251&gt;=0.8,AB252&gt;=0.1))),IF(AB261&gt;=0.7,IF(AB260&lt;AB263*0.2,ROUND(AB260,0),IF(AB263*0.2&gt;=200000,Annexes!O8,ROUND(AB263*0.2,0))),IF(AB261&gt;=0.5,IF(AB260&lt;AB263*0.15,ROUND(AB260,0),IF(AB263*0.15&gt;=200000,Annexes!O8,ROUND(AB263*0.15,0))),IF(AND(AB256="OUI",OR(AB250&gt;=0.8,AB251&gt;=0.8,AB252&gt;=0.1),AB261&gt;=0.7),IF(AB260&lt;AB263*0.2,ROUND(AB260,0),IF(AB263*0.2&gt;=200000,Annexes!O8,ROUND(AB263*0.2,0))),0))),IF(AND(AB256="OUI",OR(AB250&gt;=0.8,AB251&gt;=0.8,AB252&gt;=0.1),AB261&gt;=0.7),IF(AB260&lt;AB263*0.2,ROUND(AB260,0),IF(AB263*0.2&gt;=200000,Annexes!O8,ROUND(AB263*0.2,0))),0)))),0)</f>
        <v>0</v>
      </c>
      <c r="AC273" s="1"/>
      <c r="AD273" s="1"/>
      <c r="AE273" s="13"/>
    </row>
    <row r="274" spans="2:31" ht="15" customHeight="1">
      <c r="B274" s="173"/>
      <c r="C274" s="387"/>
      <c r="D274" s="306"/>
      <c r="E274" s="523"/>
      <c r="F274" s="523"/>
      <c r="G274" s="523"/>
      <c r="H274" s="523"/>
      <c r="I274" s="523"/>
      <c r="J274" s="523"/>
      <c r="K274" s="523"/>
      <c r="L274" s="523"/>
      <c r="M274" s="523"/>
      <c r="N274" s="523"/>
      <c r="O274" s="523"/>
      <c r="P274" s="1"/>
      <c r="T274" s="14"/>
      <c r="U274" s="1"/>
      <c r="V274" s="1"/>
      <c r="W274" s="1"/>
      <c r="X274" s="1"/>
      <c r="Y274" s="1"/>
      <c r="Z274" s="1"/>
      <c r="AA274" s="1"/>
      <c r="AB274" s="1"/>
      <c r="AC274" s="1"/>
      <c r="AD274" s="1"/>
      <c r="AE274" s="13"/>
    </row>
    <row r="275" spans="2:31" ht="16.5" customHeight="1">
      <c r="B275" s="173"/>
      <c r="C275" s="387"/>
      <c r="D275" s="417" t="str">
        <f>IFERROR(IF('Mon Entreprise'!K8&gt;=Annexes!O20,IF(AB233&gt;=AB235,"- Le CA de référence est celui de Février 2019, soit une perte de "&amp;ROUND(AB233,0)&amp;" €"&amp;" ==&gt; "&amp;ROUND(AE233*100,0)&amp;" %","- Le CA de référence est celui de la création, soit une perte de "&amp;ROUND(AB235,0)&amp;" €"&amp;" ==&gt; "&amp;ROUND(AE235*100,0)&amp;" %"),IF(AB233&gt;=AB234,"- Le CA de référence est celui de Février 2019, soit une perte de "&amp;ROUND(AB233,0)&amp;" €"&amp;" ==&gt; "&amp;ROUND(AE233*100,0)&amp;" %","- Le CA de référence est celui de l'exercice 2019, soit une perte de "&amp;ROUND(AB234,0)&amp;" €"&amp;" ==&gt; "&amp;ROUND(AE234*100,0)&amp;" %")),"")</f>
        <v>- Le CA de référence est celui de Février 2019, soit une perte de 0 € ==&gt; 0 %</v>
      </c>
      <c r="E275" s="417"/>
      <c r="F275" s="417"/>
      <c r="G275" s="417"/>
      <c r="H275" s="417"/>
      <c r="I275" s="417"/>
      <c r="J275" s="417"/>
      <c r="K275" s="417"/>
      <c r="L275" s="417"/>
      <c r="M275" s="417"/>
      <c r="N275" s="417"/>
      <c r="O275" s="417"/>
      <c r="P275" s="377"/>
      <c r="Q275" s="377"/>
      <c r="T275" s="14"/>
      <c r="U275" s="1"/>
      <c r="V275" s="1"/>
      <c r="W275" s="1"/>
      <c r="X275" s="1"/>
      <c r="Y275" s="1"/>
      <c r="Z275" s="1"/>
      <c r="AA275" s="1"/>
      <c r="AB275" s="1"/>
      <c r="AC275" s="1"/>
      <c r="AD275" s="1"/>
      <c r="AE275" s="13"/>
    </row>
    <row r="276" spans="2:31" ht="16.5" customHeight="1">
      <c r="B276" s="103"/>
      <c r="C276" s="387"/>
      <c r="D276" s="523" t="str">
        <f>IF(AB258=TRUE,"- L'entreprise peut bénéficier d'une aide de 20 % du CA de référence, plafonnée à 200 000 €",IF(OR(AB254="OUI",AND(AB255="OUI",OR(AB250&gt;=0.8,AB251&gt;=0.8,AB252&gt;=0.1))),IF(AB261&gt;=0.7,"- L'entreprise peut bénéficier d'une aide de 20 % du CA de référence, plafonnée à 200 000 €",IF(AB261&gt;=0.5,"- L'entreprise peut bénéficier d'une aide de 15 % du CA de référence, plafonnée à 200 000 €","- L'entreprise n'a subi ni de fermeture administrative avec une perte de 20 % de CA au mois de Février, ni de perte d'au moins 50 % de son CA")),IF(AND(AB256="OUI",OR(AB250&gt;=0.8,AB251&gt;=0.8,AB252&gt;=0.1),AB261&gt;=0.5),"- L'entreprise peut bénéficier d'une aide de 20 % du CA de référence, plafonnée à 200 000 €","- L'entreprise ne fait ni partie des fermetures administratives avec une perte de 20 % du CA au mois de Février, ni des activités mentionnées en annexe 1 (S1) ou en annexe 2 (S1 bis) ou Annexe 3 ou dans un centre commercial ayant une perte significative")))</f>
        <v>- L'entreprise ne fait ni partie des fermetures administratives avec une perte de 20 % du CA au mois de Février, ni des activités mentionnées en annexe 1 (S1) ou en annexe 2 (S1 bis) ou Annexe 3 ou dans un centre commercial ayant une perte significative</v>
      </c>
      <c r="E276" s="523"/>
      <c r="F276" s="523"/>
      <c r="G276" s="523"/>
      <c r="H276" s="523"/>
      <c r="I276" s="523"/>
      <c r="J276" s="523"/>
      <c r="K276" s="523"/>
      <c r="L276" s="523"/>
      <c r="M276" s="523"/>
      <c r="N276" s="523"/>
      <c r="O276" s="523"/>
      <c r="P276" s="377"/>
      <c r="Q276" s="377"/>
      <c r="T276" s="14"/>
      <c r="U276" s="1"/>
      <c r="V276" s="1"/>
      <c r="W276" s="1"/>
      <c r="X276" s="1"/>
      <c r="Y276" s="1"/>
      <c r="Z276" s="1"/>
      <c r="AA276" s="1"/>
      <c r="AB276" s="1"/>
      <c r="AC276" s="1"/>
      <c r="AD276" s="1"/>
      <c r="AE276" s="13"/>
    </row>
    <row r="277" spans="2:31" ht="16.5" customHeight="1">
      <c r="B277" s="168"/>
      <c r="C277" s="387"/>
      <c r="D277" s="523"/>
      <c r="E277" s="523"/>
      <c r="F277" s="523"/>
      <c r="G277" s="523"/>
      <c r="H277" s="523"/>
      <c r="I277" s="523"/>
      <c r="J277" s="523"/>
      <c r="K277" s="523"/>
      <c r="L277" s="523"/>
      <c r="M277" s="523"/>
      <c r="N277" s="523"/>
      <c r="O277" s="523"/>
      <c r="P277" s="377"/>
      <c r="Q277" s="377"/>
      <c r="T277" s="14"/>
      <c r="U277" s="1"/>
      <c r="V277" s="1"/>
      <c r="W277" s="1"/>
      <c r="X277" s="1"/>
      <c r="Y277" s="1"/>
      <c r="Z277" s="1"/>
      <c r="AA277" s="1"/>
      <c r="AB277" s="1"/>
      <c r="AC277" s="1"/>
      <c r="AD277" s="1"/>
      <c r="AE277" s="13"/>
    </row>
    <row r="278" spans="2:31" ht="16.5" customHeight="1" thickBot="1">
      <c r="B278" s="168"/>
      <c r="C278" s="387"/>
      <c r="D278" s="205"/>
      <c r="E278" s="377"/>
      <c r="F278" s="377"/>
      <c r="G278" s="377"/>
      <c r="H278" s="377"/>
      <c r="I278" s="377"/>
      <c r="J278" s="377"/>
      <c r="K278" s="377"/>
      <c r="L278" s="377"/>
      <c r="M278" s="377"/>
      <c r="N278" s="377"/>
      <c r="O278" s="377"/>
      <c r="P278" s="377"/>
      <c r="Q278" s="377"/>
      <c r="T278" s="14"/>
      <c r="U278" s="1"/>
      <c r="V278" s="1"/>
      <c r="W278" s="1"/>
      <c r="X278" s="1"/>
      <c r="Y278" s="1"/>
      <c r="Z278" s="1"/>
      <c r="AA278" s="1"/>
      <c r="AB278" s="1"/>
      <c r="AC278" s="1"/>
      <c r="AD278" s="1"/>
      <c r="AE278" s="13"/>
    </row>
    <row r="279" spans="2:31" ht="16.5" customHeight="1">
      <c r="B279" s="103"/>
      <c r="C279" s="180"/>
      <c r="D279" s="526" t="str">
        <f>IFERROR(IF('Mon Entreprise'!K8&gt;Annexes!Q26,"Vous avez débuté votre activité après le 31 Octobre 2020, vous ne pouvez donc pas bénéficier de cette aide",IF(AB258=TRUE,IF(AB263=0,"Vous n'avez pas indiqué de chiffre d'affaires de référence",IF(AB260&lt;AB263*0.2,"Dans votre cas, la perte est inférieure à 20 % du CA, l'aide est donc plafonnée à la perte, soit "&amp;ROUND(AB260,0)&amp;" € pour le mois de Février",IF(AB263*0.2&gt;=200000,"Dans votre cas, l'aide est plafonnée, à "&amp;Annexes!O8&amp;" € pour le mois de Février","Vous pouvez bénéficier, au titre de cette aide, d'un montant de "&amp;ROUND(AB263*0.2,0)&amp;" € pour le mois de Février"))),IF(OR(AB254="OUI",AND(AB255="OUI",OR(AB250&gt;=0.8,AB251&gt;=0.8,AB252&gt;=0.1))),IF(AB261&gt;=0.7,IF(AB260&lt;AB263*0.2,"Dans votre cas, la perte est inférieure à 20 % du CA, l'aide est donc plafonnée à la perte, soit "&amp;ROUND(AB260,0)&amp;" € pour le mois de Février",IF(AB263*0.2&gt;=200000,"Dans votre cas, l'aide est plafonnée, à "&amp;Annexes!O8&amp;" € pour le mois de Février","Vous pouvez bénéficier, au titre de cette aide, d'un montant de "&amp;ROUND(AB263*0.2,0)&amp;" € pour le mois de Février")),IF(AB261&gt;=0.5,IF(AB260&lt;AB263*0.15,"Dans votre cas, la perte est inférieure à 15 % du CA, l'aide est donc plafonnée à la perte, soit "&amp;ROUND(AB260,0)&amp;" € pour le mois de Février",IF(AB263*0.15&gt;=200000,"Dans votre cas, l'aide est plafonnée, à "&amp;Annexes!O8&amp;" € pour le mois de Février","Vous pouvez bénéficier, au titre de cette aide, d'un montant de "&amp;ROUND(AB263*0.15,0)&amp;" € pour le mois de Février")),IF(AND(AB256="OUI",OR(AB250&gt;=0.8,AB251&gt;=0.8,AB252&gt;=0.1),AB261&gt;=0.7),IF(AB260&lt;AB263*0.2,"Dans votre cas, la perte est inférieure à 20 % du CA, l'aide est donc plafonnée à la perte, soit "&amp;ROUND(AB260,0)&amp;" € pour le mois de Février",IF(AB263*0.2&gt;=200000,"Dans votre cas, l'aide est plafonnée, à "&amp;Annexes!O8&amp;" € pour le mois de Février","Vous pouvez bénéficier, au titre de cette aide, d'un montant de "&amp;ROUND(AB263*0.2,0)&amp;" € pour le mois de Février")),"L'entreprise ne fait ni partie des fermetures administratives au mois de Février, ni des activités mentionnées en annexe 1 (S1) avec 50 % de perte en Février ou en annexe 2 (S1 bis) ou 3 ou dans un centre commercial avec 70 % de Perte en Février"))),IF(AND(AB256="OUI",OR(AB250&gt;=0.8,AB251&gt;=0.8,AB252&gt;=0.1),AB261&gt;=0.7),IF(AB260&lt;AB263*0.2,"Dans votre cas, la perte est inférieure à 20 % du CA, l'aide est donc plafonnée à la perte, soit "&amp;ROUND(AB260,0)&amp;" € pour le mois de Février",IF(AB263*0.2&gt;=200000,"Dans votre cas, l'aide est plafonnée, à "&amp;Annexes!O8&amp;" € pour le mois de Février","Vous pouvez bénéficier, au titre de cette aide, d'un montant de "&amp;ROUND(AB263*0.2,0)&amp;" € pour le mois de Février")),"L'entreprise ne fait ni partie des fermetures administratives avec 20 % de perte au mois de Février, ni des activités mentionnées en annexe 1 (S1)"&amp;" ou en annexe 2 (S1 bis) avec 50 % de perte en Février ou 3 ou dans un centre commercial avec 70 % de Perte en Février")))),"Vous n'avez pas indiqué de chiffre d'affaires de référence")</f>
        <v>L'entreprise ne fait ni partie des fermetures administratives avec 20 % de perte au mois de Février, ni des activités mentionnées en annexe 1 (S1) ou en annexe 2 (S1 bis) avec 50 % de perte en Février ou 3 ou dans un centre commercial avec 70 % de Perte en Février</v>
      </c>
      <c r="E279" s="509"/>
      <c r="F279" s="509"/>
      <c r="G279" s="509"/>
      <c r="H279" s="509"/>
      <c r="I279" s="509"/>
      <c r="J279" s="509"/>
      <c r="K279" s="509"/>
      <c r="L279" s="509"/>
      <c r="M279" s="509"/>
      <c r="N279" s="509"/>
      <c r="O279" s="510"/>
      <c r="P279" s="377"/>
      <c r="Q279" s="377"/>
      <c r="T279" s="14"/>
      <c r="U279" s="1"/>
      <c r="V279" s="1"/>
      <c r="W279" s="1"/>
      <c r="X279" s="1"/>
      <c r="Y279" s="1"/>
      <c r="Z279" s="1"/>
      <c r="AA279" s="1"/>
      <c r="AB279" s="1"/>
      <c r="AC279" s="1"/>
      <c r="AD279" s="1"/>
      <c r="AE279" s="13"/>
    </row>
    <row r="280" spans="2:31" ht="16.5" customHeight="1">
      <c r="B280" s="103"/>
      <c r="C280" s="180"/>
      <c r="D280" s="511"/>
      <c r="E280" s="512"/>
      <c r="F280" s="512"/>
      <c r="G280" s="512"/>
      <c r="H280" s="512"/>
      <c r="I280" s="512"/>
      <c r="J280" s="512"/>
      <c r="K280" s="512"/>
      <c r="L280" s="512"/>
      <c r="M280" s="512"/>
      <c r="N280" s="512"/>
      <c r="O280" s="513"/>
      <c r="P280" s="377"/>
      <c r="Q280" s="377"/>
      <c r="T280" s="14"/>
      <c r="U280" s="1"/>
      <c r="V280" s="1"/>
      <c r="W280" s="1"/>
      <c r="X280" s="1"/>
      <c r="Y280" s="1"/>
      <c r="Z280" s="1"/>
      <c r="AA280" s="1"/>
      <c r="AB280" s="1"/>
      <c r="AC280" s="1"/>
      <c r="AD280" s="1"/>
      <c r="AE280" s="13"/>
    </row>
    <row r="281" spans="2:31" ht="16.5" customHeight="1">
      <c r="B281" s="103"/>
      <c r="C281" s="180"/>
      <c r="D281" s="511"/>
      <c r="E281" s="512"/>
      <c r="F281" s="512"/>
      <c r="G281" s="512"/>
      <c r="H281" s="512"/>
      <c r="I281" s="512"/>
      <c r="J281" s="512"/>
      <c r="K281" s="512"/>
      <c r="L281" s="512"/>
      <c r="M281" s="512"/>
      <c r="N281" s="512"/>
      <c r="O281" s="513"/>
      <c r="P281" s="175"/>
      <c r="Q281" s="175"/>
      <c r="T281" s="14"/>
      <c r="U281" s="1"/>
      <c r="V281" s="1"/>
      <c r="W281" s="1"/>
      <c r="X281" s="1"/>
      <c r="Y281" s="1"/>
      <c r="Z281" s="1"/>
      <c r="AA281" s="1"/>
      <c r="AB281" s="1"/>
      <c r="AC281" s="1"/>
      <c r="AD281" s="1"/>
      <c r="AE281" s="13"/>
    </row>
    <row r="282" spans="2:31" ht="16.5" customHeight="1" thickBot="1">
      <c r="B282" s="103"/>
      <c r="C282" s="180"/>
      <c r="D282" s="514"/>
      <c r="E282" s="515"/>
      <c r="F282" s="515"/>
      <c r="G282" s="515"/>
      <c r="H282" s="515"/>
      <c r="I282" s="515"/>
      <c r="J282" s="515"/>
      <c r="K282" s="515"/>
      <c r="L282" s="515"/>
      <c r="M282" s="515"/>
      <c r="N282" s="515"/>
      <c r="O282" s="516"/>
      <c r="T282" s="14"/>
      <c r="U282" s="1"/>
      <c r="V282" s="1"/>
      <c r="W282" s="1"/>
      <c r="X282" s="1"/>
      <c r="Y282" s="1"/>
      <c r="Z282" s="1"/>
      <c r="AA282" s="1"/>
      <c r="AB282" s="1"/>
      <c r="AC282" s="1"/>
      <c r="AD282" s="1"/>
      <c r="AE282" s="13"/>
    </row>
    <row r="283" spans="2:31" ht="16.5" customHeight="1">
      <c r="B283" s="5"/>
      <c r="C283" s="5"/>
      <c r="D283" s="391"/>
      <c r="E283" s="391"/>
      <c r="F283" s="391"/>
      <c r="G283" s="391"/>
      <c r="H283" s="391"/>
      <c r="I283" s="391"/>
      <c r="J283" s="391"/>
      <c r="K283" s="391"/>
      <c r="L283" s="391"/>
      <c r="M283" s="391"/>
      <c r="N283" s="391"/>
      <c r="O283" s="391"/>
      <c r="P283" s="177"/>
      <c r="Q283" s="177"/>
      <c r="T283" s="14"/>
      <c r="U283" s="1"/>
      <c r="V283" s="1"/>
      <c r="W283" s="1"/>
      <c r="X283" s="1"/>
      <c r="Y283" s="1"/>
      <c r="Z283" s="1"/>
      <c r="AA283" s="1"/>
      <c r="AB283" s="1"/>
      <c r="AC283" s="1"/>
      <c r="AD283" s="1"/>
      <c r="AE283" s="13"/>
    </row>
    <row r="284" spans="2:31">
      <c r="B284" s="5"/>
      <c r="C284" s="5"/>
      <c r="D284" s="391"/>
      <c r="E284" s="391"/>
      <c r="F284" s="391"/>
      <c r="G284" s="391"/>
      <c r="H284" s="391"/>
      <c r="I284" s="391"/>
      <c r="J284" s="391"/>
      <c r="K284" s="391"/>
      <c r="L284" s="391"/>
      <c r="M284" s="391"/>
      <c r="N284" s="391"/>
      <c r="O284" s="391"/>
      <c r="P284" s="177"/>
      <c r="Q284" s="177"/>
      <c r="T284" s="14"/>
      <c r="U284" s="1"/>
      <c r="V284" s="1"/>
      <c r="W284" s="1"/>
      <c r="X284" s="1"/>
      <c r="Y284" s="1"/>
      <c r="Z284" s="1"/>
      <c r="AA284" s="1"/>
      <c r="AB284" s="1"/>
      <c r="AC284" s="1"/>
      <c r="AD284" s="1"/>
      <c r="AE284" s="13"/>
    </row>
    <row r="285" spans="2:31">
      <c r="B285" s="5"/>
      <c r="C285" s="5"/>
      <c r="D285" s="391"/>
      <c r="E285" s="391"/>
      <c r="F285" s="391"/>
      <c r="G285" s="391"/>
      <c r="H285" s="391"/>
      <c r="I285" s="391"/>
      <c r="J285" s="391"/>
      <c r="K285" s="391"/>
      <c r="L285" s="391"/>
      <c r="M285" s="391"/>
      <c r="N285" s="391"/>
      <c r="O285" s="391"/>
      <c r="P285" s="177"/>
      <c r="Q285" s="177"/>
      <c r="T285" s="15"/>
      <c r="U285" s="10"/>
      <c r="V285" s="10"/>
      <c r="W285" s="10"/>
      <c r="X285" s="10"/>
      <c r="Y285" s="10"/>
      <c r="Z285" s="10"/>
      <c r="AA285" s="10"/>
      <c r="AB285" s="10"/>
      <c r="AC285" s="10"/>
      <c r="AD285" s="10"/>
      <c r="AE285" s="4"/>
    </row>
    <row r="286" spans="2:31" ht="16.5" thickBot="1">
      <c r="B286" s="220"/>
      <c r="C286" s="488" t="s">
        <v>382</v>
      </c>
      <c r="D286" s="488"/>
      <c r="E286" s="488"/>
      <c r="F286" s="488"/>
      <c r="G286" s="488"/>
      <c r="H286" s="488"/>
      <c r="I286" s="221"/>
      <c r="J286" s="221"/>
      <c r="K286" s="221"/>
      <c r="L286" s="221"/>
      <c r="M286" s="221"/>
      <c r="N286" s="221"/>
      <c r="O286" s="221"/>
      <c r="T286" s="16"/>
      <c r="U286" s="11"/>
      <c r="V286" s="11"/>
      <c r="W286" s="11"/>
      <c r="X286" s="11"/>
      <c r="Y286" s="11"/>
      <c r="Z286" s="11"/>
      <c r="AA286" s="11"/>
      <c r="AB286" s="11"/>
      <c r="AC286" s="11"/>
      <c r="AD286" s="11"/>
      <c r="AE286" s="12"/>
    </row>
    <row r="287" spans="2:31" ht="15" customHeight="1">
      <c r="B287" s="63"/>
      <c r="C287" s="24"/>
      <c r="D287" s="24"/>
      <c r="E287" s="24"/>
      <c r="F287" s="24"/>
      <c r="G287" s="24"/>
      <c r="H287" s="63"/>
      <c r="I287" s="1"/>
      <c r="J287" s="1"/>
      <c r="K287" s="1"/>
      <c r="L287" s="1"/>
      <c r="M287" s="1"/>
      <c r="N287" s="1"/>
      <c r="O287" s="1"/>
      <c r="T287" s="14"/>
      <c r="U287" s="1"/>
      <c r="V287" s="1"/>
      <c r="W287" s="1"/>
      <c r="X287" s="1"/>
      <c r="Y287" s="1"/>
      <c r="Z287" s="1"/>
      <c r="AA287" s="1"/>
      <c r="AB287" s="1"/>
      <c r="AC287" s="1"/>
      <c r="AD287" s="1"/>
      <c r="AE287" s="13"/>
    </row>
    <row r="288" spans="2:31" ht="15" customHeight="1">
      <c r="B288" s="103"/>
      <c r="C288" s="489" t="s">
        <v>390</v>
      </c>
      <c r="D288" s="489"/>
      <c r="E288" s="489"/>
      <c r="F288" s="489"/>
      <c r="G288" s="489"/>
      <c r="H288" s="489"/>
      <c r="I288" s="489"/>
      <c r="J288" s="489"/>
      <c r="K288" s="489"/>
      <c r="L288" s="489"/>
      <c r="M288" s="489"/>
      <c r="N288" s="489"/>
      <c r="O288" s="489"/>
      <c r="P288" s="1"/>
      <c r="T288" s="25"/>
      <c r="U288" s="490" t="s">
        <v>20</v>
      </c>
      <c r="V288" s="490"/>
      <c r="W288" s="490"/>
      <c r="X288" s="1"/>
      <c r="Y288" s="390" t="s">
        <v>6</v>
      </c>
      <c r="Z288" s="390"/>
      <c r="AA288" s="390"/>
      <c r="AB288" s="390" t="s">
        <v>23</v>
      </c>
      <c r="AC288" s="390"/>
      <c r="AD288" s="390"/>
      <c r="AE288" s="26" t="s">
        <v>24</v>
      </c>
    </row>
    <row r="289" spans="2:31" ht="15.75" customHeight="1">
      <c r="B289" s="103"/>
      <c r="C289" s="387"/>
      <c r="D289" s="60" t="s">
        <v>383</v>
      </c>
      <c r="E289" s="387"/>
      <c r="F289" s="387"/>
      <c r="G289" s="387"/>
      <c r="H289" s="387"/>
      <c r="I289" s="387"/>
      <c r="J289" s="387"/>
      <c r="K289" s="387"/>
      <c r="L289" s="387"/>
      <c r="M289" s="387"/>
      <c r="N289" s="387"/>
      <c r="O289" s="387"/>
      <c r="P289" s="1"/>
      <c r="T289" s="25"/>
      <c r="U289" s="390"/>
      <c r="V289" s="390"/>
      <c r="W289" s="390"/>
      <c r="X289" s="1"/>
      <c r="Y289" s="390"/>
      <c r="Z289" s="390"/>
      <c r="AA289" s="390"/>
      <c r="AB289" s="390"/>
      <c r="AC289" s="390"/>
      <c r="AD289" s="390"/>
      <c r="AE289" s="26"/>
    </row>
    <row r="290" spans="2:31" ht="16.5" hidden="1" thickBot="1">
      <c r="B290" s="103"/>
      <c r="C290" s="387"/>
      <c r="D290" s="60"/>
      <c r="E290" s="387"/>
      <c r="F290" s="387"/>
      <c r="G290" s="387"/>
      <c r="H290" s="387"/>
      <c r="I290" s="387"/>
      <c r="J290" s="387"/>
      <c r="K290" s="387"/>
      <c r="L290" s="387"/>
      <c r="M290" s="387"/>
      <c r="N290" s="387"/>
      <c r="O290" s="387"/>
      <c r="P290" s="1"/>
      <c r="T290" s="491" t="s">
        <v>386</v>
      </c>
      <c r="U290" s="490"/>
      <c r="V290" s="490"/>
      <c r="W290" s="490"/>
      <c r="X290" s="1"/>
      <c r="Y290" s="7">
        <f>'Mon Entreprise'!I126</f>
        <v>0</v>
      </c>
      <c r="Z290" s="133"/>
      <c r="AA290" s="21"/>
      <c r="AB290" s="7">
        <f>IF('Mon Entreprise'!I126-'Mon Entreprise'!M126&lt;0,0,'Mon Entreprise'!I126-'Mon Entreprise'!M126)</f>
        <v>0</v>
      </c>
      <c r="AC290" s="13"/>
      <c r="AD290" s="1"/>
      <c r="AE290" s="27">
        <f>IFERROR(1-'Mon Entreprise'!M126/'Mon Entreprise'!I126,0)</f>
        <v>0</v>
      </c>
    </row>
    <row r="291" spans="2:31" ht="15.75" hidden="1">
      <c r="B291" s="103"/>
      <c r="C291" s="387"/>
      <c r="D291" s="492" t="str">
        <f>IFERROR(IF(AND(AB334=0,AB335=0,AB336=0),"Vous ne pouvez pas bénéficier du fonds de solidarité pour le mois de Mars 2021",IF(AND(AB336&gt;AB335,AB336&gt;AB334),"Votre entreprise peut bénéficier d'une aide de "&amp;AB336&amp;" €, au titre d'une fermeture Administrative avec une perte de 20 % de CA, ou d'une perte d'au moins 50 % ou 70 % du CA pour les activités mentionnées en annexe 1,"&amp;" ou d'une perte d'au moins 70 % du CA pour les activités mentionnées en annexe 2 ou 3 ou dans un centre commercial, ou domicilié dans certaines îles d'outre-mer",IF(AB335&gt;AB334,"Votre entreprise peut bénéficier d'une aide de "&amp;AB335&amp;" €, au titre d'une fermeture Administrative avec une perte de 20 % du CA, ou d'une perte d'au moins 50 % du CA pour les activités mentionnées en annexe 1,"&amp;" ou en annexe 2 ou 3 ou dans un centre commercial, ou domicilié dans certaines îles d'outre-mer, ayant une perte de CA d'au moins 80 % entre le 15/03/2020 et le 15/05/2020, au mois de Novembre 2020 ou 10 % de perte entre 2019 et 2020","Votre entreprise peut bénéficier d'une aide de "&amp;AB334&amp;" €, au titre d'une perte d'au-moins 50 % de votre CA en Mars 2021"))),"Vous n'avez pas indiqué de chiffre d'affaires de référence")</f>
        <v>Vous ne pouvez pas bénéficier du fonds de solidarité pour le mois de Mars 2021</v>
      </c>
      <c r="E291" s="493"/>
      <c r="F291" s="493"/>
      <c r="G291" s="493"/>
      <c r="H291" s="493"/>
      <c r="I291" s="493"/>
      <c r="J291" s="493"/>
      <c r="K291" s="493"/>
      <c r="L291" s="493"/>
      <c r="M291" s="493"/>
      <c r="N291" s="493"/>
      <c r="O291" s="494"/>
      <c r="P291" s="1"/>
      <c r="T291" s="491" t="s">
        <v>25</v>
      </c>
      <c r="U291" s="490"/>
      <c r="V291" s="490"/>
      <c r="W291" s="490"/>
      <c r="X291" s="1"/>
      <c r="Y291" s="7">
        <f>'Mon Entreprise'!I98</f>
        <v>0</v>
      </c>
      <c r="Z291" s="133"/>
      <c r="AA291" s="21"/>
      <c r="AB291" s="7">
        <f>IF('Mon Entreprise'!I98-'Mon Entreprise'!M126&lt;0,0,'Mon Entreprise'!I98-'Mon Entreprise'!M126)</f>
        <v>0</v>
      </c>
      <c r="AC291" s="36"/>
      <c r="AD291" s="1"/>
      <c r="AE291" s="27">
        <f>IFERROR(1-'Mon Entreprise'!M126/'Mon Entreprise'!I98,0)</f>
        <v>0</v>
      </c>
    </row>
    <row r="292" spans="2:31" ht="15.75" hidden="1" customHeight="1">
      <c r="B292" s="103"/>
      <c r="C292" s="387"/>
      <c r="D292" s="495"/>
      <c r="E292" s="496"/>
      <c r="F292" s="496"/>
      <c r="G292" s="496"/>
      <c r="H292" s="496"/>
      <c r="I292" s="496"/>
      <c r="J292" s="496"/>
      <c r="K292" s="496"/>
      <c r="L292" s="496"/>
      <c r="M292" s="496"/>
      <c r="N292" s="496"/>
      <c r="O292" s="497"/>
      <c r="P292" s="1"/>
      <c r="T292" s="501" t="s">
        <v>22</v>
      </c>
      <c r="U292" s="502"/>
      <c r="V292" s="502"/>
      <c r="W292" s="502"/>
      <c r="X292" s="139"/>
      <c r="Y292" s="140" t="str">
        <f>IF('Mon Entreprise'!I155="","NC",'Mon Entreprise'!I155)</f>
        <v>NC</v>
      </c>
      <c r="Z292" s="191"/>
      <c r="AA292" s="192"/>
      <c r="AB292" s="143" t="str">
        <f>IFERROR(IF('Mon Entreprise'!I155-'Mon Entreprise'!M126&lt;0,0,'Mon Entreprise'!I155-'Mon Entreprise'!M126),"NC")</f>
        <v>NC</v>
      </c>
      <c r="AC292" s="193"/>
      <c r="AD292" s="139"/>
      <c r="AE292" s="146" t="str">
        <f>IFERROR(1-'Mon Entreprise'!M126/'Mon Entreprise'!I155,"NC")</f>
        <v>NC</v>
      </c>
    </row>
    <row r="293" spans="2:31" ht="15.75" hidden="1" customHeight="1">
      <c r="B293" s="103"/>
      <c r="C293" s="387"/>
      <c r="D293" s="495"/>
      <c r="E293" s="496"/>
      <c r="F293" s="496"/>
      <c r="G293" s="496"/>
      <c r="H293" s="496"/>
      <c r="I293" s="496"/>
      <c r="J293" s="496"/>
      <c r="K293" s="496"/>
      <c r="L293" s="496"/>
      <c r="M293" s="496"/>
      <c r="N293" s="496"/>
      <c r="O293" s="497"/>
      <c r="P293" s="1"/>
      <c r="T293" s="388"/>
      <c r="U293" s="385"/>
      <c r="V293" s="385"/>
      <c r="W293" s="385"/>
      <c r="X293" s="139"/>
      <c r="Y293" s="140"/>
      <c r="Z293" s="141"/>
      <c r="AA293" s="192"/>
      <c r="AB293" s="143"/>
      <c r="AC293" s="385"/>
      <c r="AD293" s="139"/>
      <c r="AE293" s="146"/>
    </row>
    <row r="294" spans="2:31" ht="15.75" hidden="1" customHeight="1">
      <c r="B294" s="103"/>
      <c r="C294" s="387"/>
      <c r="D294" s="495"/>
      <c r="E294" s="496"/>
      <c r="F294" s="496"/>
      <c r="G294" s="496"/>
      <c r="H294" s="496"/>
      <c r="I294" s="496"/>
      <c r="J294" s="496"/>
      <c r="K294" s="496"/>
      <c r="L294" s="496"/>
      <c r="M294" s="496"/>
      <c r="N294" s="496"/>
      <c r="O294" s="497"/>
      <c r="P294" s="1"/>
      <c r="T294" s="14"/>
      <c r="U294" s="1"/>
      <c r="V294" s="1"/>
      <c r="W294" s="1"/>
      <c r="X294" s="1"/>
      <c r="Y294" s="1"/>
      <c r="Z294" s="1"/>
      <c r="AA294" s="1"/>
      <c r="AB294" s="1"/>
      <c r="AC294" s="1"/>
      <c r="AD294" s="1"/>
      <c r="AE294" s="13"/>
    </row>
    <row r="295" spans="2:31" ht="15.75" hidden="1" customHeight="1">
      <c r="B295" s="103"/>
      <c r="C295" s="387"/>
      <c r="D295" s="495"/>
      <c r="E295" s="496"/>
      <c r="F295" s="496"/>
      <c r="G295" s="496"/>
      <c r="H295" s="496"/>
      <c r="I295" s="496"/>
      <c r="J295" s="496"/>
      <c r="K295" s="496"/>
      <c r="L295" s="496"/>
      <c r="M295" s="496"/>
      <c r="N295" s="496"/>
      <c r="O295" s="497"/>
      <c r="P295" s="1"/>
      <c r="T295" s="14"/>
      <c r="AC295" s="1"/>
      <c r="AD295" s="1"/>
      <c r="AE295" s="13"/>
    </row>
    <row r="296" spans="2:31" ht="15.75" hidden="1" customHeight="1" thickBot="1">
      <c r="B296" s="103"/>
      <c r="C296" s="387"/>
      <c r="D296" s="498"/>
      <c r="E296" s="499"/>
      <c r="F296" s="499"/>
      <c r="G296" s="499"/>
      <c r="H296" s="499"/>
      <c r="I296" s="499"/>
      <c r="J296" s="499"/>
      <c r="K296" s="499"/>
      <c r="L296" s="499"/>
      <c r="M296" s="499"/>
      <c r="N296" s="499"/>
      <c r="O296" s="500"/>
      <c r="P296" s="1"/>
      <c r="T296" s="14"/>
      <c r="AC296" s="1"/>
      <c r="AD296" s="1"/>
      <c r="AE296" s="13"/>
    </row>
    <row r="297" spans="2:31" ht="16.5" hidden="1" customHeight="1">
      <c r="B297" s="103"/>
      <c r="C297" s="387"/>
      <c r="D297" s="330" t="s">
        <v>397</v>
      </c>
      <c r="E297" s="387"/>
      <c r="F297" s="387"/>
      <c r="G297" s="387"/>
      <c r="H297" s="387"/>
      <c r="I297" s="387"/>
      <c r="J297" s="387"/>
      <c r="K297" s="387"/>
      <c r="L297" s="387"/>
      <c r="M297" s="387"/>
      <c r="N297" s="387"/>
      <c r="O297" s="387"/>
      <c r="P297" s="1"/>
      <c r="T297" s="14"/>
      <c r="AC297" s="1"/>
      <c r="AD297" s="1"/>
      <c r="AE297" s="13"/>
    </row>
    <row r="298" spans="2:31" ht="15.75">
      <c r="B298" s="103"/>
      <c r="C298" s="78"/>
      <c r="D298" s="78"/>
      <c r="E298" s="78"/>
      <c r="F298" s="78"/>
      <c r="G298" s="78"/>
      <c r="H298" s="78"/>
      <c r="I298" s="78"/>
      <c r="J298" s="78"/>
      <c r="K298" s="78"/>
      <c r="L298" s="78"/>
      <c r="M298" s="78"/>
      <c r="N298" s="78"/>
      <c r="O298" s="78"/>
      <c r="P298" s="1"/>
      <c r="T298" s="14"/>
      <c r="U298" s="1"/>
      <c r="V298" s="1"/>
      <c r="W298" s="1"/>
      <c r="X298" s="1"/>
      <c r="Y298" s="1"/>
      <c r="Z298" s="1"/>
      <c r="AA298" s="1"/>
      <c r="AB298" s="1"/>
      <c r="AC298" s="1"/>
      <c r="AD298" s="1"/>
      <c r="AE298" s="13"/>
    </row>
    <row r="299" spans="2:31" ht="15.75">
      <c r="B299" s="103"/>
      <c r="C299" s="387"/>
      <c r="D299" s="60"/>
      <c r="E299" s="387"/>
      <c r="F299" s="387"/>
      <c r="G299" s="387"/>
      <c r="H299" s="387"/>
      <c r="I299" s="387"/>
      <c r="J299" s="387"/>
      <c r="K299" s="387"/>
      <c r="L299" s="387"/>
      <c r="M299" s="387"/>
      <c r="N299" s="387"/>
      <c r="O299" s="387"/>
      <c r="P299" s="1"/>
      <c r="T299" s="14"/>
      <c r="U299" s="1"/>
      <c r="V299" s="1"/>
      <c r="W299" s="1"/>
      <c r="X299" s="1"/>
      <c r="Y299" s="1"/>
      <c r="Z299" s="1"/>
      <c r="AA299" s="1"/>
      <c r="AB299" s="1"/>
      <c r="AC299" s="1"/>
      <c r="AD299" s="1"/>
      <c r="AE299" s="13"/>
    </row>
    <row r="300" spans="2:31" ht="15.75">
      <c r="B300" s="103"/>
      <c r="C300" s="387" t="s">
        <v>391</v>
      </c>
      <c r="D300" s="60"/>
      <c r="E300" s="387"/>
      <c r="F300" s="387"/>
      <c r="G300" s="387"/>
      <c r="H300" s="387"/>
      <c r="I300" s="387"/>
      <c r="J300" s="387"/>
      <c r="K300" s="387"/>
      <c r="L300" s="387"/>
      <c r="M300" s="387"/>
      <c r="N300" s="387"/>
      <c r="O300" s="387"/>
      <c r="P300" s="1"/>
      <c r="T300" s="14"/>
      <c r="U300" s="1"/>
      <c r="V300" s="1"/>
      <c r="W300" s="1"/>
      <c r="X300" s="1"/>
      <c r="Y300" s="1"/>
      <c r="Z300" s="1"/>
      <c r="AA300" s="1"/>
      <c r="AB300" s="1"/>
      <c r="AC300" s="1"/>
      <c r="AD300" s="1"/>
      <c r="AE300" s="13"/>
    </row>
    <row r="301" spans="2:31" ht="15.75">
      <c r="B301" s="103"/>
      <c r="C301" s="380" t="s">
        <v>392</v>
      </c>
      <c r="D301" s="60"/>
      <c r="E301" s="387"/>
      <c r="F301" s="387"/>
      <c r="G301" s="387"/>
      <c r="H301" s="387"/>
      <c r="I301" s="387"/>
      <c r="J301" s="387"/>
      <c r="K301" s="387"/>
      <c r="L301" s="387"/>
      <c r="M301" s="387"/>
      <c r="N301" s="387"/>
      <c r="O301" s="387"/>
      <c r="P301" s="1"/>
      <c r="T301" s="14"/>
      <c r="U301" s="506" t="s">
        <v>72</v>
      </c>
      <c r="V301" s="506"/>
      <c r="W301" s="506"/>
      <c r="X301" s="506"/>
      <c r="Y301" s="506"/>
      <c r="Z301" s="1"/>
      <c r="AA301" s="14"/>
      <c r="AB301" s="385" t="str">
        <f>IF('Mon Entreprise'!K8&lt;=Annexes!Q29,"Oui","Non")</f>
        <v>Oui</v>
      </c>
      <c r="AC301" s="1"/>
      <c r="AD301" s="1"/>
      <c r="AE301" s="13"/>
    </row>
    <row r="302" spans="2:31" ht="15.75">
      <c r="B302" s="168"/>
      <c r="C302" s="387"/>
      <c r="D302" s="60" t="str">
        <f>IFERROR(IF('Mon Entreprise'!K8&gt;=Annexes!O20,IF(AB290&gt;=AB292,"Le CA de référence est celui de Mars 2019, soit une perte de "&amp;ROUND(AB290,0)&amp;" €"&amp;" ==&gt; "&amp;ROUND(AE290*100,0)&amp;" %","Le CA de référence est celui de la création, soit une perte de "&amp;ROUND(AB292,0)&amp;" €"&amp;" ==&gt; "&amp;ROUND(AE292*100,0)&amp;" %"),IF(AB290&gt;=AB291,"Le CA de référence est celui de Mars 2019, soit une perte de "&amp;ROUND(AB290,0)&amp;" €"&amp;" ==&gt; "&amp;ROUND(AE290*100,0)&amp;" %","Le CA de référence est celui de l'exercice 2019, soit une perte de "&amp;ROUND(AB291,0)&amp;" €"&amp;" ==&gt; "&amp;ROUND(AE291*100,0)&amp;" %")),"")</f>
        <v>Le CA de référence est celui de Mars 2019, soit une perte de 0 € ==&gt; 0 %</v>
      </c>
      <c r="E302" s="387"/>
      <c r="F302" s="387"/>
      <c r="G302" s="387"/>
      <c r="H302" s="387"/>
      <c r="I302" s="387"/>
      <c r="J302" s="387"/>
      <c r="K302" s="387"/>
      <c r="L302" s="387"/>
      <c r="M302" s="387"/>
      <c r="N302" s="387"/>
      <c r="O302" s="387"/>
      <c r="P302" s="1"/>
      <c r="T302" s="14"/>
      <c r="U302" s="386"/>
      <c r="V302" s="506" t="s">
        <v>393</v>
      </c>
      <c r="W302" s="506"/>
      <c r="X302" s="506"/>
      <c r="Y302" s="506"/>
      <c r="Z302" s="1"/>
      <c r="AA302" s="14"/>
      <c r="AB302" s="385">
        <f>IF('Mon Entreprise'!K8&gt;=Annexes!O20,IF(Y290&gt;=Y292,Y290,Y292),IF(Y290&gt;=Y291,Y290,Y291))</f>
        <v>0</v>
      </c>
      <c r="AC302" s="1"/>
      <c r="AD302" s="1"/>
      <c r="AE302" s="13"/>
    </row>
    <row r="303" spans="2:31" ht="15.75">
      <c r="B303" s="168"/>
      <c r="C303" s="387"/>
      <c r="D303" s="507" t="str">
        <f>IFERROR(IF('Mon Entreprise'!K8&gt;=Annexes!O20,"",IF(AB290&lt;AB291,"A noter qu'il convient de choisir l'option retenue par l'entreprise lors de sa demande au titre du mois Février 2021, si le CA de référence était celui de février 2019, il convient de prendre celui de Mars 2019, soit "&amp;ROUND(AB290,0)&amp;" €"&amp;" ==&gt; "&amp;ROUND(AE290*100,0)&amp;" %","A noter qu'il convient de choisir l'option retenue par l'entreprise lors de sa demande au titre du mois Février 2021, si le CA de référence était celui de l'exercice 2019, il convient de prendre celui de l'exercie 2019, soit une perte de "&amp;ROUND(AB291,0)&amp;" €"&amp;" ==&gt; "&amp;ROUND(AE291*100,0)&amp;" %")),"")</f>
        <v>A noter qu'il convient de choisir l'option retenue par l'entreprise lors de sa demande au titre du mois Février 2021, si le CA de référence était celui de l'exercice 2019, il convient de prendre celui de l'exercie 2019, soit une perte de 0 € ==&gt; 0 %</v>
      </c>
      <c r="E303" s="507"/>
      <c r="F303" s="507"/>
      <c r="G303" s="507"/>
      <c r="H303" s="507"/>
      <c r="I303" s="507"/>
      <c r="J303" s="507"/>
      <c r="K303" s="507"/>
      <c r="L303" s="507"/>
      <c r="M303" s="507"/>
      <c r="N303" s="507"/>
      <c r="O303" s="507"/>
      <c r="P303" s="1"/>
      <c r="T303" s="14"/>
      <c r="U303" s="506" t="s">
        <v>84</v>
      </c>
      <c r="V303" s="506"/>
      <c r="W303" s="506"/>
      <c r="X303" s="506"/>
      <c r="Y303" s="506"/>
      <c r="Z303" s="1"/>
      <c r="AA303" s="14"/>
      <c r="AB303" s="381">
        <f>IF('Mon Entreprise'!K8&gt;=Annexes!O20,IF(AB290&gt;=AB292,AB290,AB292),IF(AB290&gt;=AB291,AB290,AB291))</f>
        <v>0</v>
      </c>
      <c r="AC303" s="1"/>
      <c r="AD303" s="1"/>
      <c r="AE303" s="13"/>
    </row>
    <row r="304" spans="2:31" ht="15.75">
      <c r="B304" s="168"/>
      <c r="C304" s="387"/>
      <c r="D304" s="507"/>
      <c r="E304" s="507"/>
      <c r="F304" s="507"/>
      <c r="G304" s="507"/>
      <c r="H304" s="507"/>
      <c r="I304" s="507"/>
      <c r="J304" s="507"/>
      <c r="K304" s="507"/>
      <c r="L304" s="507"/>
      <c r="M304" s="507"/>
      <c r="N304" s="507"/>
      <c r="O304" s="507"/>
      <c r="P304" s="1"/>
      <c r="T304" s="14"/>
      <c r="U304" s="506" t="s">
        <v>85</v>
      </c>
      <c r="V304" s="506"/>
      <c r="W304" s="506"/>
      <c r="X304" s="506"/>
      <c r="Y304" s="506"/>
      <c r="Z304" s="1"/>
      <c r="AA304" s="14"/>
      <c r="AB304" s="19">
        <f>IF('Mon Entreprise'!K8&gt;=Annexes!O20,IF(AB290&gt;=AB292,AE290,AE292),IF(AB290&gt;=AB291,AE290,AE291))</f>
        <v>0</v>
      </c>
      <c r="AC304" s="1"/>
      <c r="AD304" s="1"/>
      <c r="AE304" s="13"/>
    </row>
    <row r="305" spans="1:31" ht="16.5" thickBot="1">
      <c r="B305" s="103"/>
      <c r="C305" s="387"/>
      <c r="D305" s="60"/>
      <c r="E305" s="387"/>
      <c r="F305" s="387"/>
      <c r="G305" s="387"/>
      <c r="H305" s="387"/>
      <c r="I305" s="387"/>
      <c r="J305" s="387"/>
      <c r="K305" s="387"/>
      <c r="L305" s="387"/>
      <c r="M305" s="387"/>
      <c r="N305" s="387"/>
      <c r="O305" s="387"/>
      <c r="P305" s="1"/>
      <c r="T305" s="14"/>
      <c r="U305" s="1"/>
      <c r="V305" s="1"/>
      <c r="W305" s="1"/>
      <c r="X305" s="1"/>
      <c r="Y305" s="1"/>
      <c r="Z305" s="1"/>
      <c r="AA305" s="1"/>
      <c r="AB305" s="1"/>
      <c r="AC305" s="1"/>
      <c r="AD305" s="1"/>
      <c r="AE305" s="13"/>
    </row>
    <row r="306" spans="1:31" ht="15.75">
      <c r="B306" s="168"/>
      <c r="C306" s="387"/>
      <c r="D306" s="508" t="str">
        <f>IFERROR(IF(AB301="Non","Vous avez débuté votre activité après le 31 Décembre 2020, vous ne pouvez donc pas bénéficier de cette aide",IF(OR(AB317=TRUE,AND(AB304&lt;0.5,AB318=TRUE),(AB304&gt;=0.5)),IF(AB303&gt;Annexes!O5,"Dans votre cas, l'aide est Plafonnée, à "&amp;Annexes!O5&amp;" € pour le mois de Mars","Vous pouvez bénéficier, au titre de cette aide, d'un montant de "&amp;ROUND(AB303,0)&amp;" € pour le mois de Mars"),"L'entreprise n'a pas une perte d'au moins 50 % en Mars 2021 ou n'a pas été en fermeture Administrative")),"Vous n'avez pas indiqué de chiffre d'affaires de référence")</f>
        <v>L'entreprise n'a pas une perte d'au moins 50 % en Mars 2021 ou n'a pas été en fermeture Administrative</v>
      </c>
      <c r="E306" s="509"/>
      <c r="F306" s="509"/>
      <c r="G306" s="509"/>
      <c r="H306" s="509"/>
      <c r="I306" s="509"/>
      <c r="J306" s="509"/>
      <c r="K306" s="509"/>
      <c r="L306" s="509"/>
      <c r="M306" s="509"/>
      <c r="N306" s="509"/>
      <c r="O306" s="510"/>
      <c r="P306" s="1"/>
      <c r="T306" s="14"/>
      <c r="U306" s="1"/>
      <c r="V306" s="1"/>
      <c r="W306" s="1"/>
      <c r="X306" s="1"/>
      <c r="Y306" s="1"/>
      <c r="Z306" s="1"/>
      <c r="AA306" s="1"/>
      <c r="AB306" s="1"/>
      <c r="AC306" s="1"/>
      <c r="AD306" s="1"/>
      <c r="AE306" s="13"/>
    </row>
    <row r="307" spans="1:31" ht="15.75" customHeight="1">
      <c r="B307" s="168"/>
      <c r="C307" s="387"/>
      <c r="D307" s="511"/>
      <c r="E307" s="512"/>
      <c r="F307" s="512"/>
      <c r="G307" s="512"/>
      <c r="H307" s="512"/>
      <c r="I307" s="512"/>
      <c r="J307" s="512"/>
      <c r="K307" s="512"/>
      <c r="L307" s="512"/>
      <c r="M307" s="512"/>
      <c r="N307" s="512"/>
      <c r="O307" s="513"/>
      <c r="P307" s="1"/>
      <c r="T307" s="14"/>
      <c r="U307" s="1"/>
      <c r="V307" s="1"/>
      <c r="W307" s="1"/>
      <c r="X307" s="1"/>
      <c r="Y307" s="1"/>
      <c r="Z307" s="1"/>
      <c r="AA307" s="1"/>
      <c r="AB307" s="1"/>
      <c r="AC307" s="1"/>
      <c r="AD307" s="1"/>
      <c r="AE307" s="13"/>
    </row>
    <row r="308" spans="1:31" ht="15.75" customHeight="1">
      <c r="B308" s="103"/>
      <c r="C308" s="387"/>
      <c r="D308" s="511"/>
      <c r="E308" s="512"/>
      <c r="F308" s="512"/>
      <c r="G308" s="512"/>
      <c r="H308" s="512"/>
      <c r="I308" s="512"/>
      <c r="J308" s="512"/>
      <c r="K308" s="512"/>
      <c r="L308" s="512"/>
      <c r="M308" s="512"/>
      <c r="N308" s="512"/>
      <c r="O308" s="513"/>
      <c r="P308" s="1"/>
      <c r="T308" s="14"/>
      <c r="U308" s="1"/>
      <c r="V308" s="1"/>
      <c r="W308" s="1"/>
      <c r="X308" s="1"/>
      <c r="Y308" s="1"/>
      <c r="Z308" s="1"/>
      <c r="AA308" s="1"/>
      <c r="AB308" s="1"/>
      <c r="AC308" s="1"/>
      <c r="AD308" s="1"/>
      <c r="AE308" s="13"/>
    </row>
    <row r="309" spans="1:31" ht="15.75" customHeight="1" thickBot="1">
      <c r="B309" s="103"/>
      <c r="C309" s="387"/>
      <c r="D309" s="514"/>
      <c r="E309" s="515"/>
      <c r="F309" s="515"/>
      <c r="G309" s="515"/>
      <c r="H309" s="515"/>
      <c r="I309" s="515"/>
      <c r="J309" s="515"/>
      <c r="K309" s="515"/>
      <c r="L309" s="515"/>
      <c r="M309" s="515"/>
      <c r="N309" s="515"/>
      <c r="O309" s="516"/>
      <c r="P309" s="1"/>
      <c r="T309" s="14"/>
      <c r="U309" s="1"/>
      <c r="V309" s="1"/>
      <c r="W309" s="1"/>
      <c r="X309" s="1"/>
      <c r="Y309" s="1"/>
      <c r="Z309" s="1"/>
      <c r="AA309" s="1"/>
      <c r="AB309" s="1"/>
      <c r="AC309" s="1"/>
      <c r="AD309" s="1"/>
      <c r="AE309" s="13"/>
    </row>
    <row r="310" spans="1:31" ht="16.5" customHeight="1">
      <c r="B310" s="103"/>
      <c r="C310" s="169"/>
      <c r="D310" s="517" t="s">
        <v>395</v>
      </c>
      <c r="E310" s="517"/>
      <c r="F310" s="517"/>
      <c r="G310" s="517"/>
      <c r="H310" s="517"/>
      <c r="I310" s="517"/>
      <c r="J310" s="517"/>
      <c r="K310" s="517"/>
      <c r="L310" s="517"/>
      <c r="M310" s="517"/>
      <c r="N310" s="517"/>
      <c r="O310" s="517"/>
      <c r="P310" s="1"/>
      <c r="T310" s="518" t="s">
        <v>4</v>
      </c>
      <c r="U310" s="519"/>
      <c r="V310" s="519"/>
      <c r="W310" s="519"/>
      <c r="X310" s="519"/>
      <c r="Y310" s="519"/>
      <c r="Z310" s="139"/>
      <c r="AA310" s="145"/>
      <c r="AB310" s="194">
        <f>IFERROR(IF('Mon Entreprise'!K8&gt;=Annexes!Q18,0,1-'Mon Entreprise'!M118/2/AB302),0)</f>
        <v>0</v>
      </c>
      <c r="AC310" s="1"/>
      <c r="AD310" s="1"/>
      <c r="AE310" s="13"/>
    </row>
    <row r="311" spans="1:31" ht="16.5" customHeight="1">
      <c r="B311" s="103"/>
      <c r="C311" s="387"/>
      <c r="D311" s="306"/>
      <c r="E311" s="306"/>
      <c r="F311" s="306"/>
      <c r="G311" s="306"/>
      <c r="H311" s="306"/>
      <c r="I311" s="306"/>
      <c r="J311" s="306"/>
      <c r="K311" s="306"/>
      <c r="L311" s="306"/>
      <c r="M311" s="306"/>
      <c r="N311" s="306"/>
      <c r="O311" s="306"/>
      <c r="P311" s="1"/>
      <c r="T311" s="110"/>
      <c r="U311" s="520" t="s">
        <v>102</v>
      </c>
      <c r="V311" s="520"/>
      <c r="W311" s="520"/>
      <c r="X311" s="520"/>
      <c r="Y311" s="520"/>
      <c r="Z311" s="139"/>
      <c r="AA311" s="145"/>
      <c r="AB311" s="194">
        <f>IFERROR(IF('Mon Entreprise'!K8&gt;Annexes!Q29,0,IF('Mon Entreprise'!K8&gt;Annexes!Q26,1,1-'Mon Entreprise'!M114/AB302)),0)</f>
        <v>0</v>
      </c>
      <c r="AC311" s="1"/>
      <c r="AD311" s="1"/>
      <c r="AE311" s="13"/>
    </row>
    <row r="312" spans="1:31" ht="16.5" customHeight="1">
      <c r="B312" s="103"/>
      <c r="C312" s="505" t="s">
        <v>396</v>
      </c>
      <c r="D312" s="505"/>
      <c r="E312" s="505"/>
      <c r="F312" s="505"/>
      <c r="G312" s="505"/>
      <c r="H312" s="505"/>
      <c r="I312" s="505"/>
      <c r="J312" s="505"/>
      <c r="K312" s="505"/>
      <c r="L312" s="505"/>
      <c r="M312" s="505"/>
      <c r="N312" s="505"/>
      <c r="O312" s="505"/>
      <c r="P312" s="1"/>
      <c r="T312" s="110"/>
      <c r="U312" s="520" t="s">
        <v>109</v>
      </c>
      <c r="V312" s="520"/>
      <c r="W312" s="520"/>
      <c r="X312" s="520"/>
      <c r="Y312" s="520"/>
      <c r="Z312" s="139"/>
      <c r="AA312" s="145"/>
      <c r="AB312" s="194">
        <f>IFERROR(IF(Annexes!O27&gt;'Mon Entreprise'!K8,1-'Mon Entreprise'!M98/'Mon Entreprise'!I98,0),0)</f>
        <v>0</v>
      </c>
      <c r="AC312" s="1"/>
      <c r="AD312" s="1"/>
      <c r="AE312" s="13"/>
    </row>
    <row r="313" spans="1:31" ht="16.5" customHeight="1">
      <c r="B313" s="103"/>
      <c r="C313" s="505"/>
      <c r="D313" s="505"/>
      <c r="E313" s="505"/>
      <c r="F313" s="505"/>
      <c r="G313" s="505"/>
      <c r="H313" s="505"/>
      <c r="I313" s="505"/>
      <c r="J313" s="505"/>
      <c r="K313" s="505"/>
      <c r="L313" s="505"/>
      <c r="M313" s="505"/>
      <c r="N313" s="505"/>
      <c r="O313" s="505"/>
      <c r="P313" s="1"/>
      <c r="T313" s="110"/>
      <c r="U313" s="382"/>
      <c r="V313" s="382"/>
      <c r="W313" s="382"/>
      <c r="X313" s="382"/>
      <c r="Y313" s="382"/>
      <c r="Z313" s="139"/>
      <c r="AA313" s="145"/>
      <c r="AB313" s="194"/>
      <c r="AC313" s="1"/>
      <c r="AD313" s="1"/>
      <c r="AE313" s="13"/>
    </row>
    <row r="314" spans="1:31" ht="16.5" customHeight="1">
      <c r="B314" s="103"/>
      <c r="C314" s="505"/>
      <c r="D314" s="505"/>
      <c r="E314" s="505"/>
      <c r="F314" s="505"/>
      <c r="G314" s="505"/>
      <c r="H314" s="505"/>
      <c r="I314" s="505"/>
      <c r="J314" s="505"/>
      <c r="K314" s="505"/>
      <c r="L314" s="505"/>
      <c r="M314" s="505"/>
      <c r="N314" s="505"/>
      <c r="O314" s="505"/>
      <c r="P314" s="1"/>
      <c r="T314" s="14"/>
      <c r="U314" s="521" t="s">
        <v>8</v>
      </c>
      <c r="V314" s="521"/>
      <c r="W314" s="521"/>
      <c r="X314" s="521"/>
      <c r="Y314" s="521"/>
      <c r="Z314" s="1"/>
      <c r="AA314" s="14"/>
      <c r="AB314" s="381" t="str">
        <f>IF((AND(Annexes!F5&gt;1,Annexes!F5&lt;=Annexes!H6)),"OUI","NON")</f>
        <v>NON</v>
      </c>
      <c r="AC314" s="1"/>
      <c r="AD314" s="1"/>
      <c r="AE314" s="13"/>
    </row>
    <row r="315" spans="1:31" ht="16.5" customHeight="1">
      <c r="B315" s="103"/>
      <c r="C315" s="505"/>
      <c r="D315" s="505"/>
      <c r="E315" s="505"/>
      <c r="F315" s="505"/>
      <c r="G315" s="505"/>
      <c r="H315" s="505"/>
      <c r="I315" s="505"/>
      <c r="J315" s="505"/>
      <c r="K315" s="505"/>
      <c r="L315" s="505"/>
      <c r="M315" s="505"/>
      <c r="N315" s="505"/>
      <c r="O315" s="505"/>
      <c r="P315" s="1"/>
      <c r="T315" s="14"/>
      <c r="U315" s="383"/>
      <c r="V315" s="383"/>
      <c r="W315" s="383"/>
      <c r="X315" s="383"/>
      <c r="Y315" s="383" t="s">
        <v>9</v>
      </c>
      <c r="Z315" s="1"/>
      <c r="AA315" s="14"/>
      <c r="AB315" s="381" t="str">
        <f>IF(AND(Annexes!F7&gt;1,Annexes!F7&lt;=Annexes!H8),"OUI","NON")</f>
        <v>NON</v>
      </c>
      <c r="AC315" s="1"/>
      <c r="AD315" s="1"/>
      <c r="AE315" s="13"/>
    </row>
    <row r="316" spans="1:31" ht="16.5" customHeight="1">
      <c r="B316" s="103"/>
      <c r="C316" s="387"/>
      <c r="D316" s="306"/>
      <c r="E316" s="417" t="str">
        <f>IF(AB320="NON","",IF(OR(AB314="OUI",AND(OR(AB316="OUI",AB315="OUI"),OR(AB310&gt;=Annexes!P5,AB311&gt;=Annexes!P5,'Mes Aides'!AB145&gt;=0.1)),AB317=TRUE,AB318=TRUE),"",IF(AND(OR(AB316="OUI",AB315="OUI"),OR(AB310&lt;Annexes!P5,AB311&lt;Annexes!P5,'Mes Aides'!AB198&lt;0.1)),"L'entreprise fait partie des entreprises mentionnées en annexe 2 ou 3 du décret mais n'a pas eu une perte de CA d'au-Moins 80 %, entre le 15/03/2020 et le 15/05/2020 ou Novembre 2020 ou 10 % entre 2019 et 2020","L'entreprise ne fait pas partie des entreprises ayant une fermeture administrative totale ou partielle "&amp;"avec 20 % de perte et ne fait pas partie des activités mentionnées aux annexes 1, 2 et 3 ou dans un centre commercial du décret ayant une perte significative.")))</f>
        <v>L'entreprise ne fait pas partie des entreprises ayant une fermeture administrative totale ou partielle avec 20 % de perte et ne fait pas partie des activités mentionnées aux annexes 1, 2 et 3 ou dans un centre commercial du décret ayant une perte significative.</v>
      </c>
      <c r="F316" s="417"/>
      <c r="G316" s="417"/>
      <c r="H316" s="417"/>
      <c r="I316" s="417"/>
      <c r="J316" s="417"/>
      <c r="K316" s="417"/>
      <c r="L316" s="417"/>
      <c r="M316" s="417"/>
      <c r="N316" s="417"/>
      <c r="O316" s="417"/>
      <c r="P316" s="1"/>
      <c r="T316" s="491" t="s">
        <v>454</v>
      </c>
      <c r="U316" s="490"/>
      <c r="V316" s="490"/>
      <c r="W316" s="490"/>
      <c r="X316" s="490"/>
      <c r="Y316" s="490"/>
      <c r="Z316" s="1"/>
      <c r="AA316" s="14"/>
      <c r="AB316" s="381" t="str">
        <f>IF(OR(Annexes!M17=TRUE,Annexes!M23=TRUE,Annexes!M24=TRUE),"OUI","NON")</f>
        <v>NON</v>
      </c>
      <c r="AC316" s="1"/>
      <c r="AD316" s="1"/>
      <c r="AE316" s="13"/>
    </row>
    <row r="317" spans="1:31" ht="16.5" customHeight="1">
      <c r="B317" s="103"/>
      <c r="C317" s="387"/>
      <c r="D317" s="306"/>
      <c r="E317" s="417"/>
      <c r="F317" s="417"/>
      <c r="G317" s="417"/>
      <c r="H317" s="417"/>
      <c r="I317" s="417"/>
      <c r="J317" s="417"/>
      <c r="K317" s="417"/>
      <c r="L317" s="417"/>
      <c r="M317" s="417"/>
      <c r="N317" s="417"/>
      <c r="O317" s="417"/>
      <c r="P317" s="1"/>
      <c r="T317" s="14"/>
      <c r="U317" s="490" t="s">
        <v>313</v>
      </c>
      <c r="V317" s="490"/>
      <c r="W317" s="490"/>
      <c r="X317" s="490"/>
      <c r="Y317" s="490"/>
      <c r="Z317" s="1"/>
      <c r="AA317" s="14"/>
      <c r="AB317" s="381" t="b">
        <f>IF(Annexes!M26=TRUE,TRUE,FALSE)</f>
        <v>0</v>
      </c>
      <c r="AC317" s="1"/>
      <c r="AD317" s="1"/>
      <c r="AE317" s="13"/>
    </row>
    <row r="318" spans="1:31" ht="16.5" customHeight="1">
      <c r="B318" s="168"/>
      <c r="C318" s="387"/>
      <c r="D318" s="306"/>
      <c r="E318" s="417"/>
      <c r="F318" s="417"/>
      <c r="G318" s="417"/>
      <c r="H318" s="417"/>
      <c r="I318" s="417"/>
      <c r="J318" s="417"/>
      <c r="K318" s="417"/>
      <c r="L318" s="417"/>
      <c r="M318" s="417"/>
      <c r="N318" s="417"/>
      <c r="O318" s="417"/>
      <c r="P318" s="1"/>
      <c r="T318" s="14"/>
      <c r="U318" s="490" t="s">
        <v>394</v>
      </c>
      <c r="V318" s="490"/>
      <c r="W318" s="490"/>
      <c r="X318" s="490"/>
      <c r="Y318" s="490"/>
      <c r="Z318" s="1"/>
      <c r="AA318" s="14"/>
      <c r="AB318" s="381" t="b">
        <f>IF(Annexes!M27=TRUE,TRUE,FALSE)</f>
        <v>0</v>
      </c>
      <c r="AC318" s="1"/>
      <c r="AD318" s="1"/>
      <c r="AE318" s="13"/>
    </row>
    <row r="319" spans="1:31" ht="16.5" customHeight="1">
      <c r="A319" s="99"/>
      <c r="B319" s="103"/>
      <c r="C319" s="387"/>
      <c r="D319" s="523" t="str">
        <f>IFERROR(IF('Mon Entreprise'!K8&gt;=Annexes!O20,IF(AB290&gt;=AB292,"- Le CA de référence est celui de Mars 2019, soit une perte de "&amp;ROUND(AB290,0)&amp;" €"&amp;" ==&gt; "&amp;ROUND(AE290*100,0)&amp;" %","- Le CA de référence est celui de la création, soit une perte de "&amp;ROUND(AB292,0)&amp;" €"&amp;" ==&gt; "&amp;ROUND(AE292*100,0)&amp;" %"),IF(AB290&gt;=AB291,"- Le CA de référence est celui de Mars 2019, soit une perte de "&amp;ROUND(AB290,0)&amp;" €"&amp;" ==&gt; "&amp;ROUND(AE290*100,0)&amp;" %","- Le CA de référence est celui de l'exercice 2019, soit une perte de "&amp;ROUND(AB291,0)&amp;" €"&amp;" ==&gt; "&amp;ROUND(AE291*100,0)&amp;" %")),"")</f>
        <v>- Le CA de référence est celui de Mars 2019, soit une perte de 0 € ==&gt; 0 %</v>
      </c>
      <c r="E319" s="523"/>
      <c r="F319" s="523"/>
      <c r="G319" s="523"/>
      <c r="H319" s="523"/>
      <c r="I319" s="523"/>
      <c r="J319" s="523"/>
      <c r="K319" s="523"/>
      <c r="L319" s="523"/>
      <c r="M319" s="523"/>
      <c r="N319" s="523"/>
      <c r="O319" s="523"/>
      <c r="P319" s="1"/>
      <c r="T319" s="14"/>
      <c r="U319" s="381"/>
      <c r="V319" s="381"/>
      <c r="W319" s="381"/>
      <c r="X319" s="381"/>
      <c r="Y319" s="381"/>
      <c r="Z319" s="1"/>
      <c r="AA319" s="14"/>
      <c r="AB319" s="381"/>
      <c r="AC319" s="1"/>
      <c r="AD319" s="1"/>
      <c r="AE319" s="13"/>
    </row>
    <row r="320" spans="1:31" ht="16.5" customHeight="1">
      <c r="A320" s="99"/>
      <c r="B320" s="103"/>
      <c r="C320" s="387"/>
      <c r="D320" s="524" t="str">
        <f>IFERROR(IF('Mon Entreprise'!K8&gt;=Annexes!O20,"",IF(AB290&lt;AB291,"A noter qu'il convient de choisir l'option retenue par l'entreprise lors de sa demande au titre du mois Février 2021, si le CA de référence était celui de février 2019, il convient de prendre celui de Mars 2019, soit "&amp;ROUND(AB290,0)&amp;" €"&amp;" ==&gt; "&amp;ROUND(AE290*100,0)&amp;" %","A noter qu'il convient de choisir l'option retenue par l'entreprise lors de sa demande au titre du mois Février 2021, si le CA de référence était celui de l'exercice 2019, il convient de prendre celui de l'exercie 2019, soit une perte de "&amp;ROUND(AB291,0)&amp;" €"&amp;" ==&gt; "&amp;ROUND(AE291*100,0)&amp;" %")),"")</f>
        <v>A noter qu'il convient de choisir l'option retenue par l'entreprise lors de sa demande au titre du mois Février 2021, si le CA de référence était celui de l'exercice 2019, il convient de prendre celui de l'exercie 2019, soit une perte de 0 € ==&gt; 0 %</v>
      </c>
      <c r="E320" s="524"/>
      <c r="F320" s="524"/>
      <c r="G320" s="524"/>
      <c r="H320" s="524"/>
      <c r="I320" s="524"/>
      <c r="J320" s="524"/>
      <c r="K320" s="524"/>
      <c r="L320" s="524"/>
      <c r="M320" s="524"/>
      <c r="N320" s="524"/>
      <c r="O320" s="524"/>
      <c r="P320" s="1"/>
      <c r="T320" s="14"/>
      <c r="U320" s="525" t="s">
        <v>72</v>
      </c>
      <c r="V320" s="525"/>
      <c r="W320" s="525"/>
      <c r="X320" s="525"/>
      <c r="Y320" s="525"/>
      <c r="Z320" s="139"/>
      <c r="AA320" s="145"/>
      <c r="AB320" s="385" t="str">
        <f>IF(AB301="Oui","Oui","Non")</f>
        <v>Oui</v>
      </c>
      <c r="AC320" s="139"/>
      <c r="AD320" s="1"/>
      <c r="AE320" s="13"/>
    </row>
    <row r="321" spans="1:31" ht="16.5" customHeight="1">
      <c r="A321" s="99"/>
      <c r="B321" s="103"/>
      <c r="C321" s="387"/>
      <c r="D321" s="524"/>
      <c r="E321" s="524"/>
      <c r="F321" s="524"/>
      <c r="G321" s="524"/>
      <c r="H321" s="524"/>
      <c r="I321" s="524"/>
      <c r="J321" s="524"/>
      <c r="K321" s="524"/>
      <c r="L321" s="524"/>
      <c r="M321" s="524"/>
      <c r="N321" s="524"/>
      <c r="O321" s="524"/>
      <c r="P321" s="1"/>
      <c r="T321" s="14"/>
      <c r="U321" s="525" t="s">
        <v>84</v>
      </c>
      <c r="V321" s="525"/>
      <c r="W321" s="525"/>
      <c r="X321" s="525"/>
      <c r="Y321" s="525"/>
      <c r="Z321" s="139"/>
      <c r="AA321" s="145"/>
      <c r="AB321" s="385">
        <f>IF('Mon Entreprise'!K8&gt;=Annexes!O20,IF(AB290&gt;=AB292,AB290,AB292),IF(AB290&gt;=AB291,AB290,AB291))</f>
        <v>0</v>
      </c>
      <c r="AC321" s="139"/>
      <c r="AD321" s="1"/>
      <c r="AE321" s="13"/>
    </row>
    <row r="322" spans="1:31" ht="16.5" customHeight="1">
      <c r="B322" s="103"/>
      <c r="C322" s="387"/>
      <c r="D322" s="215" t="str">
        <f>IF(OR(AB314="OUI",AB317=TRUE),"- Sans ticket modérateur",IF(AND(OR(AB316="OUI",AB315="OUI"),OR(AB310&gt;=0.8,AB311&gt;=0.8,AB312&gt;=0.1)),"- La Perte de référence est plafonnée à 80 %, soit "&amp;ROUND(AB325,0)&amp;" €","- Sans ticket modérateur"))</f>
        <v>- Sans ticket modérateur</v>
      </c>
      <c r="E322" s="377"/>
      <c r="F322" s="377"/>
      <c r="G322" s="377"/>
      <c r="H322" s="377"/>
      <c r="I322" s="377"/>
      <c r="J322" s="377"/>
      <c r="K322" s="377"/>
      <c r="L322" s="377"/>
      <c r="M322" s="377"/>
      <c r="N322" s="377"/>
      <c r="O322" s="377"/>
      <c r="P322" s="1"/>
      <c r="T322" s="14"/>
      <c r="U322" s="525" t="s">
        <v>85</v>
      </c>
      <c r="V322" s="525"/>
      <c r="W322" s="525"/>
      <c r="X322" s="525"/>
      <c r="Y322" s="525"/>
      <c r="Z322" s="139"/>
      <c r="AA322" s="145"/>
      <c r="AB322" s="385">
        <f>IF('Mon Entreprise'!K8&gt;=Annexes!O20,IF(AB290&gt;=AB292,AE290,AE292),IF(AB290&gt;=AB291,AE290,AE291))</f>
        <v>0</v>
      </c>
      <c r="AC322" s="139"/>
      <c r="AD322" s="1"/>
      <c r="AE322" s="13"/>
    </row>
    <row r="323" spans="1:31" ht="16.5" customHeight="1" thickBot="1">
      <c r="B323" s="103"/>
      <c r="C323" s="387"/>
      <c r="D323" s="377"/>
      <c r="E323" s="377"/>
      <c r="F323" s="377"/>
      <c r="G323" s="377"/>
      <c r="H323" s="377"/>
      <c r="I323" s="377"/>
      <c r="J323" s="377"/>
      <c r="K323" s="377"/>
      <c r="L323" s="377"/>
      <c r="M323" s="377"/>
      <c r="N323" s="377"/>
      <c r="O323" s="377"/>
      <c r="P323" s="1"/>
      <c r="T323" s="14"/>
      <c r="U323" s="502" t="s">
        <v>74</v>
      </c>
      <c r="V323" s="502"/>
      <c r="W323" s="502"/>
      <c r="X323" s="502"/>
      <c r="Y323" s="502"/>
      <c r="Z323" s="139"/>
      <c r="AA323" s="145"/>
      <c r="AB323" s="385">
        <f>IF(OR(AB314="OUI",AB317=TRUE),1,IF(AND(OR(AB316="OUI",AB315="OUI"),OR(AB310&gt;=0.8,AB311&gt;=0.8,AB312&gt;=0.1)),0.8,1))</f>
        <v>1</v>
      </c>
      <c r="AC323" s="139"/>
      <c r="AD323" s="1"/>
      <c r="AE323" s="13"/>
    </row>
    <row r="324" spans="1:31" ht="16.5" customHeight="1">
      <c r="B324" s="103"/>
      <c r="C324" s="387"/>
      <c r="D324" s="508" t="str">
        <f>IFERROR(IF(AB320="NON","Vous avez débuté votre activité après le 31 Décembre 2020, vous ne pouvez donc pas bénéficier de cette aide",IF(OR(AB317=TRUE,AND(AB318=TRUE,AB322&gt;=0.5)),IF(AB325&gt;Annexes!O6,"Dans votre cas, l'aide est Plafonnée, à "&amp;Annexes!O6&amp;" € pour le mois de Mars","Vous pouvez bénéficier, au titre de cette aide, d'un montant de "&amp;ROUND(AB325,0)&amp;" € pour le mois de Mars"),IF(AB322&gt;=0.5,IF(OR(AB314="OUI",AND(OR(AB316="OUI",AB315="OUI"),OR(AB310&gt;=Annexes!P5,AB311&gt;=Annexes!P5,AB312&gt;=0.1))),IF(AB325&gt;Annexes!O6,"Dans votre cas, l'aide est Plafonnée, à "&amp;Annexes!O6&amp;" € pour le mois de Mars","Vous pouvez bénéficier, au titre de cette aide, d'un montant de "&amp;ROUND(AB325,0)&amp;" € pour le mois de Mars"),IF(AND(OR(AB316="OUI",AB315="OUI"),OR(AB310&lt;Annexes!P5,AB311&lt;Annexes!P5)),"L'entreprise fait partie des entreprises mentionnées en annexe 2 ou 3 ou dans un centre commercial du décret, mais n'a pas eu une perte de CA d'au-Moins 80 % entre le 15/03/2020 et le 15/05/2020 "&amp;"ou au mois de Novembre 2020 ou 10 % de perte entre 2019 et 2020","L'entreprise ne fait pas partie des entreprises"&amp;" ayant une fermeture administrative avec une perte de 20 % de CA et ne fait pas partie des activités mentionnées aux annexes 1, 2 et 3 ou dans un centre commercial du décret")),"L'entreprise n'a pas une perte d'au moins 50 % en Mars 2021"))),"Vous n'avez pas indiqué de chiffre d'affaires de référence")</f>
        <v>L'entreprise n'a pas une perte d'au moins 50 % en Mars 2021</v>
      </c>
      <c r="E324" s="509"/>
      <c r="F324" s="509"/>
      <c r="G324" s="509"/>
      <c r="H324" s="509"/>
      <c r="I324" s="509"/>
      <c r="J324" s="509"/>
      <c r="K324" s="509"/>
      <c r="L324" s="509"/>
      <c r="M324" s="509"/>
      <c r="N324" s="509"/>
      <c r="O324" s="510"/>
      <c r="P324" s="1"/>
      <c r="T324" s="14"/>
      <c r="U324" s="502" t="s">
        <v>80</v>
      </c>
      <c r="V324" s="502"/>
      <c r="W324" s="502"/>
      <c r="X324" s="502"/>
      <c r="Y324" s="502"/>
      <c r="Z324" s="139"/>
      <c r="AA324" s="145"/>
      <c r="AB324" s="385">
        <f>IF('Mon Entreprise'!K8&gt;=Annexes!O20,IF(AB290&gt;=AB292,Y290,Y292),IF(AB290&gt;=AB291,Y290,Y291))</f>
        <v>0</v>
      </c>
      <c r="AC324" s="139"/>
      <c r="AD324" s="1"/>
      <c r="AE324" s="13"/>
    </row>
    <row r="325" spans="1:31" ht="16.5" customHeight="1">
      <c r="B325" s="173"/>
      <c r="C325" s="387"/>
      <c r="D325" s="511"/>
      <c r="E325" s="512"/>
      <c r="F325" s="512"/>
      <c r="G325" s="512"/>
      <c r="H325" s="512"/>
      <c r="I325" s="512"/>
      <c r="J325" s="512"/>
      <c r="K325" s="512"/>
      <c r="L325" s="512"/>
      <c r="M325" s="512"/>
      <c r="N325" s="512"/>
      <c r="O325" s="513"/>
      <c r="P325" s="1"/>
      <c r="T325" s="14"/>
      <c r="U325" s="490" t="s">
        <v>104</v>
      </c>
      <c r="V325" s="490"/>
      <c r="W325" s="490"/>
      <c r="X325" s="490"/>
      <c r="Y325" s="490"/>
      <c r="Z325" s="1"/>
      <c r="AA325" s="14"/>
      <c r="AB325" s="381">
        <f>IF(AB323=1,AB321,IF(AB321*AB323&gt;1500,IF(AB321&gt;1500,AB321*AB323,"Impossible"),IF(AB321&lt;1500,AB321,1500)))</f>
        <v>0</v>
      </c>
      <c r="AC325" s="1"/>
      <c r="AD325" s="1"/>
      <c r="AE325" s="13"/>
    </row>
    <row r="326" spans="1:31" ht="16.5" customHeight="1">
      <c r="B326" s="103"/>
      <c r="C326" s="387"/>
      <c r="D326" s="511"/>
      <c r="E326" s="512"/>
      <c r="F326" s="512"/>
      <c r="G326" s="512"/>
      <c r="H326" s="512"/>
      <c r="I326" s="512"/>
      <c r="J326" s="512"/>
      <c r="K326" s="512"/>
      <c r="L326" s="512"/>
      <c r="M326" s="512"/>
      <c r="N326" s="512"/>
      <c r="O326" s="513"/>
      <c r="P326" s="1"/>
      <c r="T326" s="14"/>
      <c r="U326" s="381"/>
      <c r="V326" s="381"/>
      <c r="W326" s="381"/>
      <c r="X326" s="381"/>
      <c r="Y326" s="381"/>
      <c r="Z326" s="1"/>
      <c r="AA326" s="1"/>
      <c r="AB326" s="1"/>
      <c r="AC326" s="1"/>
      <c r="AD326" s="1"/>
      <c r="AE326" s="13"/>
    </row>
    <row r="327" spans="1:31" ht="16.5" customHeight="1" thickBot="1">
      <c r="B327" s="103"/>
      <c r="C327" s="387"/>
      <c r="D327" s="514"/>
      <c r="E327" s="515"/>
      <c r="F327" s="515"/>
      <c r="G327" s="515"/>
      <c r="H327" s="515"/>
      <c r="I327" s="515"/>
      <c r="J327" s="515"/>
      <c r="K327" s="515"/>
      <c r="L327" s="515"/>
      <c r="M327" s="515"/>
      <c r="N327" s="515"/>
      <c r="O327" s="516"/>
      <c r="P327" s="1"/>
      <c r="T327" s="14"/>
      <c r="U327" s="490"/>
      <c r="V327" s="490"/>
      <c r="W327" s="490"/>
      <c r="X327" s="490"/>
      <c r="Y327" s="490"/>
      <c r="Z327" s="1"/>
      <c r="AA327" s="1"/>
      <c r="AB327" s="1"/>
      <c r="AC327" s="1"/>
      <c r="AD327" s="1"/>
      <c r="AE327" s="13"/>
    </row>
    <row r="328" spans="1:31" ht="16.5" customHeight="1">
      <c r="B328" s="103"/>
      <c r="C328" s="169"/>
      <c r="D328" s="174"/>
      <c r="E328" s="174"/>
      <c r="F328" s="174"/>
      <c r="G328" s="174"/>
      <c r="H328" s="174"/>
      <c r="I328" s="174"/>
      <c r="J328" s="174"/>
      <c r="K328" s="174"/>
      <c r="L328" s="174"/>
      <c r="M328" s="174"/>
      <c r="N328" s="174"/>
      <c r="O328" s="174"/>
      <c r="P328" s="1"/>
      <c r="T328" s="14"/>
      <c r="U328" s="381"/>
      <c r="V328" s="381"/>
      <c r="W328" s="381"/>
      <c r="X328" s="381"/>
      <c r="Y328" s="381"/>
      <c r="Z328" s="1"/>
      <c r="AA328" s="1"/>
      <c r="AB328" s="1"/>
      <c r="AC328" s="1"/>
      <c r="AD328" s="1"/>
      <c r="AE328" s="13"/>
    </row>
    <row r="329" spans="1:31" ht="16.5" customHeight="1">
      <c r="B329" s="103"/>
      <c r="C329" s="387"/>
      <c r="D329" s="377"/>
      <c r="E329" s="377"/>
      <c r="F329" s="377"/>
      <c r="G329" s="377"/>
      <c r="H329" s="377"/>
      <c r="I329" s="377"/>
      <c r="J329" s="377"/>
      <c r="K329" s="377"/>
      <c r="L329" s="377"/>
      <c r="M329" s="377"/>
      <c r="N329" s="377"/>
      <c r="O329" s="377"/>
      <c r="P329" s="1"/>
      <c r="T329" s="14"/>
      <c r="U329" s="1"/>
      <c r="V329" s="1"/>
      <c r="W329" s="1"/>
      <c r="X329" s="1"/>
      <c r="Y329" s="1"/>
      <c r="Z329" s="1"/>
      <c r="AA329" s="1"/>
      <c r="AB329" s="1"/>
      <c r="AC329" s="1"/>
      <c r="AD329" s="1"/>
      <c r="AE329" s="13"/>
    </row>
    <row r="330" spans="1:31" ht="16.5" customHeight="1">
      <c r="B330" s="103"/>
      <c r="C330" s="529" t="s">
        <v>398</v>
      </c>
      <c r="D330" s="529"/>
      <c r="E330" s="529"/>
      <c r="F330" s="529"/>
      <c r="G330" s="529"/>
      <c r="H330" s="529"/>
      <c r="I330" s="529"/>
      <c r="J330" s="529"/>
      <c r="K330" s="529"/>
      <c r="L330" s="529"/>
      <c r="M330" s="529"/>
      <c r="N330" s="529"/>
      <c r="O330" s="529"/>
      <c r="P330" s="1"/>
      <c r="T330" s="14"/>
      <c r="U330" s="1"/>
      <c r="V330" s="1"/>
      <c r="W330" s="1"/>
      <c r="X330" s="1"/>
      <c r="Y330" s="1"/>
      <c r="Z330" s="1"/>
      <c r="AA330" s="1"/>
      <c r="AB330" s="1"/>
      <c r="AC330" s="1"/>
      <c r="AD330" s="1"/>
      <c r="AE330" s="13"/>
    </row>
    <row r="331" spans="1:31" ht="16.5" customHeight="1">
      <c r="B331" s="103"/>
      <c r="C331" s="529"/>
      <c r="D331" s="529"/>
      <c r="E331" s="529"/>
      <c r="F331" s="529"/>
      <c r="G331" s="529"/>
      <c r="H331" s="529"/>
      <c r="I331" s="529"/>
      <c r="J331" s="529"/>
      <c r="K331" s="529"/>
      <c r="L331" s="529"/>
      <c r="M331" s="529"/>
      <c r="N331" s="529"/>
      <c r="O331" s="529"/>
      <c r="P331" s="1"/>
      <c r="T331" s="14"/>
      <c r="U331" s="1"/>
      <c r="V331" s="1"/>
      <c r="W331" s="1"/>
      <c r="X331" s="1"/>
      <c r="Y331" s="1"/>
      <c r="Z331" s="1"/>
      <c r="AA331" s="1"/>
      <c r="AB331" s="1"/>
      <c r="AC331" s="1"/>
      <c r="AD331" s="1"/>
      <c r="AE331" s="13"/>
    </row>
    <row r="332" spans="1:31" ht="16.5" customHeight="1">
      <c r="B332" s="103"/>
      <c r="C332" s="529"/>
      <c r="D332" s="529"/>
      <c r="E332" s="529"/>
      <c r="F332" s="529"/>
      <c r="G332" s="529"/>
      <c r="H332" s="529"/>
      <c r="I332" s="529"/>
      <c r="J332" s="529"/>
      <c r="K332" s="529"/>
      <c r="L332" s="529"/>
      <c r="M332" s="529"/>
      <c r="N332" s="529"/>
      <c r="O332" s="529"/>
      <c r="P332" s="1"/>
      <c r="T332" s="14"/>
      <c r="U332" s="1"/>
      <c r="V332" s="1"/>
      <c r="W332" s="1"/>
      <c r="X332" s="1"/>
      <c r="Y332" s="1"/>
      <c r="Z332" s="1"/>
      <c r="AA332" s="1"/>
      <c r="AB332" s="1"/>
      <c r="AC332" s="1"/>
      <c r="AD332" s="1"/>
      <c r="AE332" s="13"/>
    </row>
    <row r="333" spans="1:31" ht="16.5" customHeight="1">
      <c r="B333" s="173"/>
      <c r="C333" s="529"/>
      <c r="D333" s="529"/>
      <c r="E333" s="529"/>
      <c r="F333" s="529"/>
      <c r="G333" s="529"/>
      <c r="H333" s="529"/>
      <c r="I333" s="529"/>
      <c r="J333" s="529"/>
      <c r="K333" s="529"/>
      <c r="L333" s="529"/>
      <c r="M333" s="529"/>
      <c r="N333" s="529"/>
      <c r="O333" s="529"/>
      <c r="P333" s="1"/>
      <c r="T333" s="14"/>
      <c r="U333" s="1"/>
      <c r="V333" s="1"/>
      <c r="W333" s="1"/>
      <c r="X333" s="1"/>
      <c r="Y333" s="1"/>
      <c r="Z333" s="1"/>
      <c r="AA333" s="1"/>
      <c r="AB333" s="1"/>
      <c r="AC333" s="1"/>
      <c r="AD333" s="1"/>
      <c r="AE333" s="13"/>
    </row>
    <row r="334" spans="1:31" ht="16.5" customHeight="1">
      <c r="B334" s="173"/>
      <c r="C334" s="387"/>
      <c r="D334" s="306"/>
      <c r="E334" s="523" t="str">
        <f>IF(AB320="NON","",IF(OR(AB314="OUI",AND(OR(AB316="OUI",AB315="OUI"),OR(AB310&gt;=Annexes!P5,AB311&gt;=Annexes!P5,'Mes Aides'!AB145&gt;=0.1)),AB317=TRUE,AB318=TRUE),"",IF(AND(OR(AB316="OUI",AB315="OUI"),OR(AB310&lt;Annexes!P5,AB311&lt;Annexes!P5,'Mes Aides'!AB145&lt;0.1)),"L'entreprise fait partie des entreprises mentionnées en annexe 2 ou 3 ou dans un centre commercial du décret mais n'a pas eu une perte de CA d'au-Moins 80 %, entre le 15/03/2020 et le 15/05/2020 ou Novembre 2020 ou 10 % entre 2019 et 2020","L'entreprise ne fait pas partie des entreprises ayant une fermeture administrative totale ou partielle sur le mois avec une perte de 20 % de CA et ne fait pas partie des activités mentionnées aux annexes 1, 2 et 3 ou dans un centre commercial du décret.")))</f>
        <v>L'entreprise ne fait pas partie des entreprises ayant une fermeture administrative totale ou partielle sur le mois avec une perte de 20 % de CA et ne fait pas partie des activités mentionnées aux annexes 1, 2 et 3 ou dans un centre commercial du décret.</v>
      </c>
      <c r="F334" s="523"/>
      <c r="G334" s="523"/>
      <c r="H334" s="523"/>
      <c r="I334" s="523"/>
      <c r="J334" s="523"/>
      <c r="K334" s="523"/>
      <c r="L334" s="523"/>
      <c r="M334" s="523"/>
      <c r="N334" s="523"/>
      <c r="O334" s="523"/>
      <c r="P334" s="1"/>
      <c r="T334" s="14"/>
      <c r="U334" s="502" t="s">
        <v>82</v>
      </c>
      <c r="V334" s="502"/>
      <c r="W334" s="502"/>
      <c r="X334" s="502"/>
      <c r="Y334" s="502"/>
      <c r="Z334" s="68"/>
      <c r="AA334" s="1"/>
      <c r="AB334" s="1">
        <f>IFERROR(IF(AB301="Non",0,IF(OR(AND(AB304&lt;0.5,AB318=TRUE),(AB304&gt;=0.5)),IF(AB303&gt;Annexes!O5,Annexes!O5,ROUND(AB303,0)),0)),0)</f>
        <v>0</v>
      </c>
      <c r="AC334" s="1"/>
      <c r="AD334" s="1"/>
      <c r="AE334" s="13"/>
    </row>
    <row r="335" spans="1:31" ht="15" customHeight="1">
      <c r="B335" s="173"/>
      <c r="C335" s="387"/>
      <c r="D335" s="306"/>
      <c r="E335" s="523"/>
      <c r="F335" s="523"/>
      <c r="G335" s="523"/>
      <c r="H335" s="523"/>
      <c r="I335" s="523"/>
      <c r="J335" s="523"/>
      <c r="K335" s="523"/>
      <c r="L335" s="523"/>
      <c r="M335" s="523"/>
      <c r="N335" s="523"/>
      <c r="O335" s="523"/>
      <c r="P335" s="1"/>
      <c r="T335" s="14"/>
      <c r="U335" s="502" t="s">
        <v>81</v>
      </c>
      <c r="V335" s="502"/>
      <c r="W335" s="502"/>
      <c r="X335" s="502"/>
      <c r="Y335" s="502"/>
      <c r="Z335" s="68"/>
      <c r="AA335" s="1"/>
      <c r="AB335" s="1">
        <f>IFERROR(IF(AB320="NON",0,IF(OR(AB317=TRUE,AND(AB318=TRUE,AB322&gt;=0.5)),IF(AB325&gt;Annexes!O6,Annexes!O6,ROUND(AB325,0)),IF(AB322&gt;=0.5,IF(OR(AB314="OUI",AND(OR(AB316="OUI",AB315="OUI"),OR(AB310&gt;=Annexes!P5,AB311&gt;=Annexes!P5,AB312&gt;=0.1))),IF(AB325&gt;Annexes!O6,Annexes!O6,ROUND(AB325,0)),IF(AND(OR(AB316="OUI",AB315="OUI"),OR(AB310&lt;Annexes!P5,AB311&lt;Annexes!P5)),0,0)),0))),0)</f>
        <v>0</v>
      </c>
      <c r="AC335" s="1"/>
      <c r="AD335" s="1"/>
      <c r="AE335" s="13"/>
    </row>
    <row r="336" spans="1:31" ht="15" customHeight="1">
      <c r="B336" s="173"/>
      <c r="C336" s="387"/>
      <c r="D336" s="306"/>
      <c r="E336" s="523"/>
      <c r="F336" s="523"/>
      <c r="G336" s="523"/>
      <c r="H336" s="523"/>
      <c r="I336" s="523"/>
      <c r="J336" s="523"/>
      <c r="K336" s="523"/>
      <c r="L336" s="523"/>
      <c r="M336" s="523"/>
      <c r="N336" s="523"/>
      <c r="O336" s="523"/>
      <c r="P336" s="1"/>
      <c r="T336" s="14"/>
      <c r="U336" s="502" t="s">
        <v>399</v>
      </c>
      <c r="V336" s="502"/>
      <c r="W336" s="502"/>
      <c r="X336" s="502"/>
      <c r="Y336" s="502"/>
      <c r="Z336" s="68"/>
      <c r="AA336" s="1"/>
      <c r="AB336" s="1">
        <f>IFERROR(IF(AB320="NON",0,IF(OR(AB317=TRUE,AND(AB318=TRUE,AB322&gt;=0.5)),IF(AB324=0,0,IF(AB321&lt;AB324*0.2,ROUND(AB321,0),IF(AB324*0.2&gt;=200000,Annexes!O8,ROUND(AB324*0.2,0)))),IF(OR(AB314="OUI",AND(AB315="OUI",OR(AB310&gt;=0.8,AB311&gt;=0.8,AB312&gt;=0.1))),IF(AB322&gt;=0.7,IF(AB321&lt;AB324*0.2,ROUND(AB321,0),IF(AB324*0.2&gt;=200000,Annexes!O8,ROUND(AB324*0.2,0))),IF(AB322&gt;=0.5,IF(AB321&lt;AB324*0.15,ROUND(AB321,0),IF(AB324*0.15&gt;=200000,Annexes!O8,ROUND(AB324*0.15,0))),IF(AND(AB316="OUI",OR(AB310&gt;=0.8,AB311&gt;=0.8,AB312&gt;=0.1),AB322&gt;=0.7),IF(AB321&lt;AB324*0.2,ROUND(AB321,0),IF(AB324*0.2&gt;=200000,Annexes!O8,ROUND(AB324*0.2,0))),0))),IF(AND(AB316="OUI",OR(AB310&gt;=0.8,AB311&gt;=0.8,AB312&gt;=0.1),AB322&gt;=0.7),IF(AB321&lt;AB324*0.2,ROUND(AB321,0),IF(AB324*0.2&gt;=200000,Annexes!O8,ROUND(AB324*0.2,0))),0)))),0)</f>
        <v>0</v>
      </c>
      <c r="AC336" s="1"/>
      <c r="AD336" s="1"/>
      <c r="AE336" s="13"/>
    </row>
    <row r="337" spans="2:31" ht="16.5" customHeight="1">
      <c r="B337" s="173"/>
      <c r="C337" s="387"/>
      <c r="D337" s="417" t="str">
        <f>IFERROR(IF('Mon Entreprise'!K8&gt;=Annexes!O20,IF(AB290&gt;=AB292,"- Le CA de référence est celui de Mars 2019, soit une perte de "&amp;ROUND(AB290,0)&amp;" €"&amp;" ==&gt; "&amp;ROUND(AE290*100,0)&amp;" %","- Le CA de référence est celui de la création, soit une perte de "&amp;ROUND(AB292,0)&amp;" €"&amp;" ==&gt; "&amp;ROUND(AE292*100,0)&amp;" %"),IF(AB290&gt;=AB291,"- Le CA de référence est celui de Mars 2019, soit une perte de "&amp;ROUND(AB290,0)&amp;" €"&amp;" ==&gt; "&amp;ROUND(AE290*100,0)&amp;" %","- Le CA de référence est celui de l'exercice 2019, soit une perte de "&amp;ROUND(AB291,0)&amp;" €"&amp;" ==&gt; "&amp;ROUND(AE291*100,0)&amp;" %")),"")</f>
        <v>- Le CA de référence est celui de Mars 2019, soit une perte de 0 € ==&gt; 0 %</v>
      </c>
      <c r="E337" s="417"/>
      <c r="F337" s="417"/>
      <c r="G337" s="417"/>
      <c r="H337" s="417"/>
      <c r="I337" s="417"/>
      <c r="J337" s="417"/>
      <c r="K337" s="417"/>
      <c r="L337" s="417"/>
      <c r="M337" s="417"/>
      <c r="N337" s="417"/>
      <c r="O337" s="417"/>
      <c r="P337" s="377"/>
      <c r="Q337" s="377"/>
      <c r="T337" s="14"/>
      <c r="U337" s="1"/>
      <c r="V337" s="1"/>
      <c r="W337" s="1"/>
      <c r="X337" s="1"/>
      <c r="Y337" s="1"/>
      <c r="Z337" s="1"/>
      <c r="AA337" s="1"/>
      <c r="AB337" s="1"/>
      <c r="AC337" s="1"/>
      <c r="AD337" s="1"/>
      <c r="AE337" s="13"/>
    </row>
    <row r="338" spans="2:31" ht="16.5" customHeight="1">
      <c r="B338" s="173"/>
      <c r="C338" s="387"/>
      <c r="D338" s="524" t="str">
        <f>IFERROR(IF('Mon Entreprise'!K8&gt;=Annexes!O20,"",IF(AB290&lt;AB291,"A noter qu'il convient de choisir l'option retenue par l'entreprise lors de sa demande au titre du mois Février 2021, si le CA de référence était celui de février 2019, il convient de prendre celui de Mars 2019, soit "&amp;ROUND(AB290,0)&amp;" €"&amp;" ==&gt; "&amp;ROUND(AE290*100,0)&amp;" %","A noter qu'il convient de choisir l'option retenue par l'entreprise lors de sa demande au titre du mois Février 2021, si le CA de référence était celui de l'exercice 2019, il convient de prendre celui de l'exercie 2019, soit une perte de "&amp;ROUND(AB291,0)&amp;" €"&amp;" ==&gt; "&amp;ROUND(AE291*100,0)&amp;" %")),"")</f>
        <v>A noter qu'il convient de choisir l'option retenue par l'entreprise lors de sa demande au titre du mois Février 2021, si le CA de référence était celui de l'exercice 2019, il convient de prendre celui de l'exercie 2019, soit une perte de 0 € ==&gt; 0 %</v>
      </c>
      <c r="E338" s="524"/>
      <c r="F338" s="524"/>
      <c r="G338" s="524"/>
      <c r="H338" s="524"/>
      <c r="I338" s="524"/>
      <c r="J338" s="524"/>
      <c r="K338" s="524"/>
      <c r="L338" s="524"/>
      <c r="M338" s="524"/>
      <c r="N338" s="524"/>
      <c r="O338" s="524"/>
      <c r="P338" s="377"/>
      <c r="Q338" s="377"/>
      <c r="T338" s="14"/>
      <c r="U338" s="1"/>
      <c r="V338" s="1"/>
      <c r="W338" s="1"/>
      <c r="X338" s="1"/>
      <c r="Y338" s="1"/>
      <c r="Z338" s="1"/>
      <c r="AA338" s="1"/>
      <c r="AB338" s="1"/>
      <c r="AC338" s="1"/>
      <c r="AD338" s="1"/>
      <c r="AE338" s="13"/>
    </row>
    <row r="339" spans="2:31" ht="16.5" customHeight="1">
      <c r="B339" s="173"/>
      <c r="C339" s="387"/>
      <c r="D339" s="524"/>
      <c r="E339" s="524"/>
      <c r="F339" s="524"/>
      <c r="G339" s="524"/>
      <c r="H339" s="524"/>
      <c r="I339" s="524"/>
      <c r="J339" s="524"/>
      <c r="K339" s="524"/>
      <c r="L339" s="524"/>
      <c r="M339" s="524"/>
      <c r="N339" s="524"/>
      <c r="O339" s="524"/>
      <c r="P339" s="377"/>
      <c r="Q339" s="377"/>
      <c r="T339" s="14"/>
      <c r="U339" s="1"/>
      <c r="V339" s="1"/>
      <c r="W339" s="1"/>
      <c r="X339" s="1"/>
      <c r="Y339" s="1"/>
      <c r="Z339" s="1"/>
      <c r="AA339" s="1"/>
      <c r="AB339" s="1"/>
      <c r="AC339" s="1"/>
      <c r="AD339" s="1"/>
      <c r="AE339" s="13"/>
    </row>
    <row r="340" spans="2:31" ht="16.5" customHeight="1">
      <c r="B340" s="103"/>
      <c r="C340" s="387"/>
      <c r="D340" s="523" t="str">
        <f>IF(OR(AB317=TRUE,AND(AB318=TRUE,AB322&gt;=0.5)),"- L'entreprise peut bénéficier d'une aide de 20 % du CA de référence, plafonnée à 200 000 €",IF(OR(AB314="OUI",AND(AB315="OUI",OR(AB310&gt;=0.8,AB311&gt;=0.8,AB312&gt;=0.1))),IF(AB322&gt;=0.7,"- L'entreprise peut bénéficier d'une aide de 20 % du CA de référence, plafonnée à 200 000 €",IF(AB322&gt;=0.5,"- L'entreprise peut bénéficier d'une aide de 15 % du CA de référence, plafonnée à 200 000 €","- L'entreprise n'a subi ni de fermeture administrative avec une perte de 20 % de CA au mois de Mars, ni de perte d'au moins 50 % de son CA")),IF(AND(AB316="OUI",OR(AB310&gt;=0.8,AB311&gt;=0.8,AB312&gt;=0.1),AB322&gt;=0.5),"- L'entreprise peut bénéficier d'une aide de 20 % du CA de référence, plafonnée à 200 000 €","- L'entreprise ne fait ni partie des fermetures administratives avec une perte de 20 % du CA au mois de Mars, ni des activités mentionnées en annexe 1 (S1) ou en annexe 2 (S1 bis) ou Annexe 3 ou dans un centre commercial ayant une perte significative")))</f>
        <v>- L'entreprise ne fait ni partie des fermetures administratives avec une perte de 20 % du CA au mois de Mars, ni des activités mentionnées en annexe 1 (S1) ou en annexe 2 (S1 bis) ou Annexe 3 ou dans un centre commercial ayant une perte significative</v>
      </c>
      <c r="E340" s="523"/>
      <c r="F340" s="523"/>
      <c r="G340" s="523"/>
      <c r="H340" s="523"/>
      <c r="I340" s="523"/>
      <c r="J340" s="523"/>
      <c r="K340" s="523"/>
      <c r="L340" s="523"/>
      <c r="M340" s="523"/>
      <c r="N340" s="523"/>
      <c r="O340" s="523"/>
      <c r="P340" s="377"/>
      <c r="Q340" s="377"/>
      <c r="T340" s="14"/>
      <c r="U340" s="1"/>
      <c r="V340" s="1"/>
      <c r="W340" s="1"/>
      <c r="X340" s="1"/>
      <c r="Y340" s="1"/>
      <c r="Z340" s="1"/>
      <c r="AA340" s="1"/>
      <c r="AB340" s="1"/>
      <c r="AC340" s="1"/>
      <c r="AD340" s="1"/>
      <c r="AE340" s="13"/>
    </row>
    <row r="341" spans="2:31" ht="16.5" customHeight="1">
      <c r="B341" s="168"/>
      <c r="C341" s="387"/>
      <c r="D341" s="523"/>
      <c r="E341" s="523"/>
      <c r="F341" s="523"/>
      <c r="G341" s="523"/>
      <c r="H341" s="523"/>
      <c r="I341" s="523"/>
      <c r="J341" s="523"/>
      <c r="K341" s="523"/>
      <c r="L341" s="523"/>
      <c r="M341" s="523"/>
      <c r="N341" s="523"/>
      <c r="O341" s="523"/>
      <c r="P341" s="377"/>
      <c r="Q341" s="377"/>
      <c r="T341" s="14"/>
      <c r="U341" s="1"/>
      <c r="V341" s="1"/>
      <c r="W341" s="1"/>
      <c r="X341" s="1"/>
      <c r="Y341" s="1"/>
      <c r="Z341" s="1"/>
      <c r="AA341" s="1"/>
      <c r="AB341" s="1"/>
      <c r="AC341" s="1"/>
      <c r="AD341" s="1"/>
      <c r="AE341" s="13"/>
    </row>
    <row r="342" spans="2:31" ht="16.5" customHeight="1" thickBot="1">
      <c r="B342" s="168"/>
      <c r="C342" s="387"/>
      <c r="D342" s="205"/>
      <c r="E342" s="377"/>
      <c r="F342" s="377"/>
      <c r="G342" s="377"/>
      <c r="H342" s="377"/>
      <c r="I342" s="377"/>
      <c r="J342" s="377"/>
      <c r="K342" s="377"/>
      <c r="L342" s="377"/>
      <c r="M342" s="377"/>
      <c r="N342" s="377"/>
      <c r="O342" s="377"/>
      <c r="P342" s="377"/>
      <c r="Q342" s="377"/>
      <c r="T342" s="14"/>
      <c r="U342" s="1"/>
      <c r="V342" s="1"/>
      <c r="W342" s="1"/>
      <c r="X342" s="1"/>
      <c r="Y342" s="1"/>
      <c r="Z342" s="1"/>
      <c r="AA342" s="1"/>
      <c r="AB342" s="1"/>
      <c r="AC342" s="1"/>
      <c r="AD342" s="1"/>
      <c r="AE342" s="13"/>
    </row>
    <row r="343" spans="2:31" ht="16.5" customHeight="1">
      <c r="B343" s="103"/>
      <c r="C343" s="180"/>
      <c r="D343" s="527" t="str">
        <f>IFERROR(IF(AB320="NON","Vous avez débuté votre activité après le 31 Décembre 2020, vous ne pouvez donc pas bénéficier de cette aide",IF(OR(AB317=TRUE,AND(AB318=TRUE,AB322&gt;=0.5)),IF(AB324=0,"Vous n'avez pas indiqué de chiffre d'affaires de référence",IF(AB321&lt;AB324*0.2,"Dans votre cas, la perte est inférieure à 20 % du CA, l'aide est donc plafonnée à la perte, soit "&amp;ROUND(AB321,0)&amp;" € pour le mois de Mars",IF(AB324*0.2&gt;=200000,"Dans votre cas, l'aide est plafonnée, à "&amp;Annexes!O8&amp;" € pour le mois de Mars","Vous pouvez bénéficier, au titre de cette aide, d'un montant de "&amp;ROUND(AB324*0.2,0)&amp;" € pour le mois de Mars"))),IF(OR(AB314="OUI",AND(AB315="OUI",OR(AB310&gt;=0.8,AB311&gt;=0.8,AB312&gt;=0.1))),IF(AB322&gt;=0.7,IF(AB321&lt;AB324*0.2,"Dans votre cas, la perte est inférieure à 20 % du CA, l'aide est donc plafonnée à la perte, soit "&amp;ROUND(AB321,0)&amp;" € pour le mois de Mars",IF(AB324*0.2&gt;=200000,"Dans votre cas, l'aide est plafonnée, à "&amp;Annexes!O8&amp;" € pour le mois de Mars","Vous pouvez bénéficier, au titre de cette aide, d'un montant de "&amp;ROUND(AB324*0.2,0)&amp;" € pour le mois de Mars")),IF(AB322&gt;=0.5,IF(AB321&lt;AB324*0.15,"Dans votre cas, la perte est inférieure à 15 % du CA, l'aide est donc plafonnée à la perte, soit "&amp;ROUND(AB321,0)&amp;" € pour le mois de Mars",IF(AB324*0.15&gt;=200000,"Dans votre cas, l'aide est plafonnée, à "&amp;Annexes!O8&amp;" € pour le mois de Mars","Vous pouvez bénéficier, au titre de cette aide, d'un montant de "&amp;ROUND(AB324*0.15,0)&amp;" € pour le mois de Mars")),IF(AND(AB316="OUI",OR(AB310&gt;=0.8,AB311&gt;=0.8,AB312&gt;=0.1),AB322&gt;=0.7),IF(AB321&lt;AB324*0.2,"Dans votre cas, la perte est inférieure à 20 % du CA, l'aide est donc plafonnée à la perte, soit "&amp;ROUND(AB321,0)&amp;" € pour le mois de Mars",IF(AB324*0.2&gt;=200000,"Dans votre cas, l'aide est plafonnée, à "&amp;Annexes!O8&amp;" € pour le mois de Mars","Vous pouvez bénéficier, au titre de cette aide, d'un montant de "&amp;ROUND(AB324*0.2,0)&amp;" € pour le mois de Mars")),"L'entreprise ne fait ni partie des fermetures administratives au mois de Mars, ni des activités mentionnées en annexe 1 (S1) avec 50 % de perte en Mars ou en annexe 2 (S1 bis) ou 3 ou dans un centre commercial avec 70 % de Perte en Mars"))),IF(AND(AB316="OUI",OR(AB310&gt;=0.8,AB311&gt;=0.8,AB312&gt;=0.1),AB322&gt;=0.7),IF(AB321&lt;AB324*0.2,"Dans votre cas, la perte est inférieure à 20 % du CA, l'aide est donc plafonnée à la perte, soit "&amp;ROUND(AB321,0)&amp;" € pour le mois de Mars",IF(AB324*0.2&gt;=200000,"Dans votre cas, l'aide est plafonnée, à "&amp;Annexes!O8&amp;" € pour le mois de Mars","Vous pouvez bénéficier, au titre de cette aide, d'un montant de "&amp;ROUND(AB324*0.2,0)&amp;" € pour le mois de Mars")),"L'entreprise ne fait ni partie des fermetures administratives avec 20 % de perte au mois de Mars, ni des activités mentionnées en annexe 1 (S1)"&amp;" ou en annexe 2 (S1 bis) avec 50 % de perte en Mars ou 3 ou dans un centre commercial avec 70 % de Perte en Mars")))),"Vous n'avez pas indiqué de chiffre d'affaires de référence")</f>
        <v>L'entreprise ne fait ni partie des fermetures administratives avec 20 % de perte au mois de Mars, ni des activités mentionnées en annexe 1 (S1) ou en annexe 2 (S1 bis) avec 50 % de perte en Mars ou 3 ou dans un centre commercial avec 70 % de Perte en Mars</v>
      </c>
      <c r="E343" s="509"/>
      <c r="F343" s="509"/>
      <c r="G343" s="509"/>
      <c r="H343" s="509"/>
      <c r="I343" s="509"/>
      <c r="J343" s="509"/>
      <c r="K343" s="509"/>
      <c r="L343" s="509"/>
      <c r="M343" s="509"/>
      <c r="N343" s="509"/>
      <c r="O343" s="510"/>
      <c r="P343" s="377"/>
      <c r="Q343" s="377"/>
      <c r="T343" s="14"/>
      <c r="U343" s="1"/>
      <c r="V343" s="1"/>
      <c r="W343" s="1"/>
      <c r="X343" s="1"/>
      <c r="Y343" s="1"/>
      <c r="Z343" s="1"/>
      <c r="AA343" s="1"/>
      <c r="AB343" s="1"/>
      <c r="AC343" s="1"/>
      <c r="AD343" s="1"/>
      <c r="AE343" s="13"/>
    </row>
    <row r="344" spans="2:31" ht="16.5" customHeight="1">
      <c r="B344" s="103"/>
      <c r="C344" s="180"/>
      <c r="D344" s="511"/>
      <c r="E344" s="512"/>
      <c r="F344" s="512"/>
      <c r="G344" s="512"/>
      <c r="H344" s="512"/>
      <c r="I344" s="512"/>
      <c r="J344" s="512"/>
      <c r="K344" s="512"/>
      <c r="L344" s="512"/>
      <c r="M344" s="512"/>
      <c r="N344" s="512"/>
      <c r="O344" s="513"/>
      <c r="P344" s="377"/>
      <c r="Q344" s="377"/>
      <c r="T344" s="14"/>
      <c r="U344" s="1"/>
      <c r="V344" s="1"/>
      <c r="W344" s="1"/>
      <c r="X344" s="1"/>
      <c r="Y344" s="1"/>
      <c r="Z344" s="1"/>
      <c r="AA344" s="1"/>
      <c r="AB344" s="1"/>
      <c r="AC344" s="1"/>
      <c r="AD344" s="1"/>
      <c r="AE344" s="13"/>
    </row>
    <row r="345" spans="2:31" ht="16.5" customHeight="1">
      <c r="B345" s="103"/>
      <c r="C345" s="180"/>
      <c r="D345" s="511"/>
      <c r="E345" s="512"/>
      <c r="F345" s="512"/>
      <c r="G345" s="512"/>
      <c r="H345" s="512"/>
      <c r="I345" s="512"/>
      <c r="J345" s="512"/>
      <c r="K345" s="512"/>
      <c r="L345" s="512"/>
      <c r="M345" s="512"/>
      <c r="N345" s="512"/>
      <c r="O345" s="513"/>
      <c r="P345" s="175"/>
      <c r="Q345" s="175"/>
      <c r="T345" s="14"/>
      <c r="U345" s="1"/>
      <c r="V345" s="1"/>
      <c r="W345" s="1"/>
      <c r="X345" s="1"/>
      <c r="Y345" s="1"/>
      <c r="Z345" s="1"/>
      <c r="AA345" s="1"/>
      <c r="AB345" s="1"/>
      <c r="AC345" s="1"/>
      <c r="AD345" s="1"/>
      <c r="AE345" s="13"/>
    </row>
    <row r="346" spans="2:31" ht="16.5" customHeight="1" thickBot="1">
      <c r="B346" s="103"/>
      <c r="C346" s="180"/>
      <c r="D346" s="514"/>
      <c r="E346" s="515"/>
      <c r="F346" s="515"/>
      <c r="G346" s="515"/>
      <c r="H346" s="515"/>
      <c r="I346" s="515"/>
      <c r="J346" s="515"/>
      <c r="K346" s="515"/>
      <c r="L346" s="515"/>
      <c r="M346" s="515"/>
      <c r="N346" s="515"/>
      <c r="O346" s="516"/>
      <c r="T346" s="14"/>
      <c r="U346" s="1"/>
      <c r="V346" s="1"/>
      <c r="W346" s="1"/>
      <c r="X346" s="1"/>
      <c r="Y346" s="1"/>
      <c r="Z346" s="1"/>
      <c r="AA346" s="1"/>
      <c r="AB346" s="1"/>
      <c r="AC346" s="1"/>
      <c r="AD346" s="1"/>
      <c r="AE346" s="13"/>
    </row>
    <row r="347" spans="2:31" ht="16.5" customHeight="1">
      <c r="B347" s="103"/>
      <c r="C347" s="318"/>
      <c r="D347" s="563" t="str">
        <f>IF(AND(AB318=TRUE,AB317=FALSE,AB303&gt;1500),"L'aide est plafonné à 1 500 €, Si l'entreprise a subi une perte de moins de 50 % sur la période en comprenant le CA réalisé sur les activités de vente à distance avec retrait en magasin ou livraison sont à prendre en compte pour le calcul de la perte","")</f>
        <v/>
      </c>
      <c r="E347" s="563"/>
      <c r="F347" s="563"/>
      <c r="G347" s="563"/>
      <c r="H347" s="563"/>
      <c r="I347" s="563"/>
      <c r="J347" s="563"/>
      <c r="K347" s="563"/>
      <c r="L347" s="563"/>
      <c r="M347" s="563"/>
      <c r="N347" s="563"/>
      <c r="O347" s="563"/>
      <c r="T347" s="14"/>
      <c r="U347" s="1"/>
      <c r="V347" s="1"/>
      <c r="W347" s="1"/>
      <c r="X347" s="1"/>
      <c r="Y347" s="1"/>
      <c r="Z347" s="1"/>
      <c r="AA347" s="1"/>
      <c r="AB347" s="1"/>
      <c r="AC347" s="1"/>
      <c r="AD347" s="1"/>
      <c r="AE347" s="13"/>
    </row>
    <row r="348" spans="2:31" ht="16.5" customHeight="1">
      <c r="B348" s="103"/>
      <c r="C348" s="318"/>
      <c r="D348" s="563"/>
      <c r="E348" s="563"/>
      <c r="F348" s="563"/>
      <c r="G348" s="563"/>
      <c r="H348" s="563"/>
      <c r="I348" s="563"/>
      <c r="J348" s="563"/>
      <c r="K348" s="563"/>
      <c r="L348" s="563"/>
      <c r="M348" s="563"/>
      <c r="N348" s="563"/>
      <c r="O348" s="563"/>
      <c r="T348" s="14"/>
      <c r="U348" s="1"/>
      <c r="V348" s="1"/>
      <c r="W348" s="1"/>
      <c r="X348" s="1"/>
      <c r="Y348" s="1"/>
      <c r="Z348" s="1"/>
      <c r="AA348" s="1"/>
      <c r="AB348" s="1"/>
      <c r="AC348" s="1"/>
      <c r="AD348" s="1"/>
      <c r="AE348" s="13"/>
    </row>
    <row r="349" spans="2:31" ht="16.5" customHeight="1">
      <c r="B349" s="5"/>
      <c r="C349" s="5"/>
      <c r="D349" s="391"/>
      <c r="E349" s="391"/>
      <c r="F349" s="391"/>
      <c r="G349" s="391"/>
      <c r="H349" s="391"/>
      <c r="I349" s="391"/>
      <c r="J349" s="391"/>
      <c r="K349" s="391"/>
      <c r="L349" s="391"/>
      <c r="M349" s="391"/>
      <c r="N349" s="391"/>
      <c r="O349" s="391"/>
      <c r="P349" s="177"/>
      <c r="Q349" s="177"/>
      <c r="T349" s="14"/>
      <c r="U349" s="1"/>
      <c r="V349" s="1"/>
      <c r="W349" s="1"/>
      <c r="X349" s="1"/>
      <c r="Y349" s="1"/>
      <c r="Z349" s="1"/>
      <c r="AA349" s="1"/>
      <c r="AB349" s="1"/>
      <c r="AC349" s="1"/>
      <c r="AD349" s="1"/>
      <c r="AE349" s="13"/>
    </row>
    <row r="350" spans="2:31" ht="16.5" thickBot="1">
      <c r="B350" s="220"/>
      <c r="C350" s="488" t="s">
        <v>434</v>
      </c>
      <c r="D350" s="488"/>
      <c r="E350" s="488"/>
      <c r="F350" s="488"/>
      <c r="G350" s="488"/>
      <c r="H350" s="488"/>
      <c r="I350" s="221"/>
      <c r="J350" s="221"/>
      <c r="K350" s="221"/>
      <c r="L350" s="221"/>
      <c r="M350" s="221"/>
      <c r="N350" s="221"/>
      <c r="O350" s="221"/>
      <c r="T350" s="16"/>
      <c r="U350" s="11"/>
      <c r="V350" s="11"/>
      <c r="W350" s="11"/>
      <c r="X350" s="11"/>
      <c r="Y350" s="11"/>
      <c r="Z350" s="11"/>
      <c r="AA350" s="11"/>
      <c r="AB350" s="11"/>
      <c r="AC350" s="11"/>
      <c r="AD350" s="11"/>
      <c r="AE350" s="12"/>
    </row>
    <row r="351" spans="2:31" ht="15" customHeight="1">
      <c r="B351" s="63"/>
      <c r="C351" s="24"/>
      <c r="D351" s="24"/>
      <c r="E351" s="24"/>
      <c r="F351" s="24"/>
      <c r="G351" s="24"/>
      <c r="H351" s="63"/>
      <c r="I351" s="1"/>
      <c r="J351" s="1"/>
      <c r="K351" s="1"/>
      <c r="L351" s="1"/>
      <c r="M351" s="1"/>
      <c r="N351" s="1"/>
      <c r="O351" s="1"/>
      <c r="T351" s="14"/>
      <c r="U351" s="1"/>
      <c r="V351" s="1"/>
      <c r="W351" s="1"/>
      <c r="X351" s="1"/>
      <c r="Y351" s="1"/>
      <c r="Z351" s="1"/>
      <c r="AA351" s="1"/>
      <c r="AB351" s="1"/>
      <c r="AC351" s="1"/>
      <c r="AD351" s="1"/>
      <c r="AE351" s="13"/>
    </row>
    <row r="352" spans="2:31" ht="15" customHeight="1">
      <c r="B352" s="103"/>
      <c r="C352" s="489" t="s">
        <v>441</v>
      </c>
      <c r="D352" s="489"/>
      <c r="E352" s="489"/>
      <c r="F352" s="489"/>
      <c r="G352" s="489"/>
      <c r="H352" s="489"/>
      <c r="I352" s="489"/>
      <c r="J352" s="489"/>
      <c r="K352" s="489"/>
      <c r="L352" s="489"/>
      <c r="M352" s="489"/>
      <c r="N352" s="489"/>
      <c r="O352" s="489"/>
      <c r="P352" s="1"/>
      <c r="T352" s="25"/>
      <c r="U352" s="490" t="s">
        <v>20</v>
      </c>
      <c r="V352" s="490"/>
      <c r="W352" s="490"/>
      <c r="X352" s="1"/>
      <c r="Y352" s="390" t="s">
        <v>6</v>
      </c>
      <c r="Z352" s="390"/>
      <c r="AA352" s="390"/>
      <c r="AB352" s="390" t="s">
        <v>23</v>
      </c>
      <c r="AC352" s="390"/>
      <c r="AD352" s="390"/>
      <c r="AE352" s="26" t="s">
        <v>24</v>
      </c>
    </row>
    <row r="353" spans="2:31" ht="15.75" customHeight="1">
      <c r="B353" s="103"/>
      <c r="C353" s="387"/>
      <c r="D353" s="60" t="s">
        <v>435</v>
      </c>
      <c r="E353" s="387"/>
      <c r="F353" s="387"/>
      <c r="G353" s="387"/>
      <c r="H353" s="387"/>
      <c r="I353" s="387"/>
      <c r="J353" s="387"/>
      <c r="K353" s="387"/>
      <c r="L353" s="387"/>
      <c r="M353" s="387"/>
      <c r="N353" s="387"/>
      <c r="O353" s="387"/>
      <c r="P353" s="1"/>
      <c r="T353" s="25"/>
      <c r="U353" s="390"/>
      <c r="V353" s="390"/>
      <c r="W353" s="390"/>
      <c r="X353" s="1"/>
      <c r="Y353" s="390"/>
      <c r="Z353" s="390"/>
      <c r="AA353" s="390"/>
      <c r="AB353" s="390"/>
      <c r="AC353" s="390"/>
      <c r="AD353" s="390"/>
      <c r="AE353" s="26"/>
    </row>
    <row r="354" spans="2:31" ht="16.5" hidden="1" thickBot="1">
      <c r="B354" s="103"/>
      <c r="C354" s="387"/>
      <c r="D354" s="60"/>
      <c r="E354" s="387"/>
      <c r="F354" s="387"/>
      <c r="G354" s="387"/>
      <c r="H354" s="387"/>
      <c r="I354" s="387"/>
      <c r="J354" s="387"/>
      <c r="K354" s="387"/>
      <c r="L354" s="387"/>
      <c r="M354" s="387"/>
      <c r="N354" s="387"/>
      <c r="O354" s="387"/>
      <c r="P354" s="1"/>
      <c r="T354" s="491" t="s">
        <v>444</v>
      </c>
      <c r="U354" s="490"/>
      <c r="V354" s="490"/>
      <c r="W354" s="490"/>
      <c r="X354" s="1"/>
      <c r="Y354" s="7">
        <f>'Mon Entreprise'!I128</f>
        <v>0</v>
      </c>
      <c r="Z354" s="133"/>
      <c r="AA354" s="21"/>
      <c r="AB354" s="7">
        <f>IF('Mon Entreprise'!I128-'Mon Entreprise'!M128&lt;0,0,'Mon Entreprise'!I128-'Mon Entreprise'!M128)</f>
        <v>0</v>
      </c>
      <c r="AC354" s="13"/>
      <c r="AD354" s="1"/>
      <c r="AE354" s="27">
        <f>IFERROR(1-'Mon Entreprise'!M128/'Mon Entreprise'!I128,0)</f>
        <v>0</v>
      </c>
    </row>
    <row r="355" spans="2:31" ht="15.75" hidden="1">
      <c r="B355" s="103"/>
      <c r="C355" s="387"/>
      <c r="D355" s="492" t="str">
        <f>IFERROR(IF(AND(AB398=0,AB399=0,AB400=0),"Vous ne pouvez pas bénéficier du fonds de solidarité pour le mois d'Avril 2021",IF(AND(AB400&gt;AB399,AB400&gt;AB398),"Votre entreprise peut bénéficier d'une aide de "&amp;AB400&amp;" €, au titre d'une fermeture Administrative avec une perte de 20 % de CA, ou d'une perte d'au moins 50 % ou 70 % du CA pour les activités mentionnées en annexe 1,"&amp;" ou d'une perte d'au moins 70 % du CA pour les activités mentionnées en annexe 2 ou 3 ou dans un centre commercial, ou domicilié dans certaines îles d'outre-mer",IF(AB399&gt;AB398,"Votre entreprise peut bénéficier d'une aide de "&amp;AB399&amp;" €, au titre d'une fermeture Administrative avec une perte de 20 % du CA, ou d'une perte d'au moins 50 % du CA pour les activités mentionnées en annexe 1,"&amp;" ou en annexe 2 ou 3 ou dans un centre commercial, ou domicilié dans certaines îles d'outre-mer, ayant une perte de CA d'au moins 80 % entre le 15/03/2020 et le 15/05/2020, au mois de Novembre 2020 ou 10 % de perte entre 2019 et 2020","Votre entreprise peut bénéficier d'une aide de "&amp;AB398&amp;" €, au titre d'une perte d'au-moins 50 % de votre CA en Avril 2021"))),"Vous n'avez pas indiqué de chiffre d'affaires de référence")</f>
        <v>Vous ne pouvez pas bénéficier du fonds de solidarité pour le mois d'Avril 2021</v>
      </c>
      <c r="E355" s="493"/>
      <c r="F355" s="493"/>
      <c r="G355" s="493"/>
      <c r="H355" s="493"/>
      <c r="I355" s="493"/>
      <c r="J355" s="493"/>
      <c r="K355" s="493"/>
      <c r="L355" s="493"/>
      <c r="M355" s="493"/>
      <c r="N355" s="493"/>
      <c r="O355" s="494"/>
      <c r="P355" s="1"/>
      <c r="T355" s="491" t="s">
        <v>25</v>
      </c>
      <c r="U355" s="490"/>
      <c r="V355" s="490"/>
      <c r="W355" s="490"/>
      <c r="X355" s="1"/>
      <c r="Y355" s="7">
        <f>'Mon Entreprise'!I98</f>
        <v>0</v>
      </c>
      <c r="Z355" s="133"/>
      <c r="AA355" s="21"/>
      <c r="AB355" s="7">
        <f>IF('Mon Entreprise'!I98-'Mon Entreprise'!M128&lt;0,0,'Mon Entreprise'!I98-'Mon Entreprise'!M128)</f>
        <v>0</v>
      </c>
      <c r="AC355" s="36"/>
      <c r="AD355" s="1"/>
      <c r="AE355" s="27">
        <f>IFERROR(1-'Mon Entreprise'!M128/'Mon Entreprise'!I98,0)</f>
        <v>0</v>
      </c>
    </row>
    <row r="356" spans="2:31" ht="15.75" hidden="1" customHeight="1">
      <c r="B356" s="103"/>
      <c r="C356" s="387"/>
      <c r="D356" s="495"/>
      <c r="E356" s="496"/>
      <c r="F356" s="496"/>
      <c r="G356" s="496"/>
      <c r="H356" s="496"/>
      <c r="I356" s="496"/>
      <c r="J356" s="496"/>
      <c r="K356" s="496"/>
      <c r="L356" s="496"/>
      <c r="M356" s="496"/>
      <c r="N356" s="496"/>
      <c r="O356" s="497"/>
      <c r="P356" s="1"/>
      <c r="T356" s="501" t="s">
        <v>22</v>
      </c>
      <c r="U356" s="502"/>
      <c r="V356" s="502"/>
      <c r="W356" s="502"/>
      <c r="X356" s="139"/>
      <c r="Y356" s="140" t="str">
        <f>IF('Mon Entreprise'!I148="","NC",'Mon Entreprise'!I148)</f>
        <v>NC</v>
      </c>
      <c r="Z356" s="191"/>
      <c r="AA356" s="192"/>
      <c r="AB356" s="143" t="str">
        <f>IFERROR(IF('Mon Entreprise'!I148-'Mon Entreprise'!M128&lt;0,0,'Mon Entreprise'!I148-'Mon Entreprise'!M128),"NC")</f>
        <v>NC</v>
      </c>
      <c r="AC356" s="193"/>
      <c r="AD356" s="139"/>
      <c r="AE356" s="146" t="str">
        <f>IFERROR(1-'Mon Entreprise'!M128/'Mon Entreprise'!I148,"NC")</f>
        <v>NC</v>
      </c>
    </row>
    <row r="357" spans="2:31" ht="15.75" hidden="1" customHeight="1">
      <c r="B357" s="103"/>
      <c r="C357" s="387"/>
      <c r="D357" s="495"/>
      <c r="E357" s="496"/>
      <c r="F357" s="496"/>
      <c r="G357" s="496"/>
      <c r="H357" s="496"/>
      <c r="I357" s="496"/>
      <c r="J357" s="496"/>
      <c r="K357" s="496"/>
      <c r="L357" s="496"/>
      <c r="M357" s="496"/>
      <c r="N357" s="496"/>
      <c r="O357" s="497"/>
      <c r="P357" s="1"/>
      <c r="T357" s="388"/>
      <c r="U357" s="385"/>
      <c r="V357" s="385"/>
      <c r="W357" s="385"/>
      <c r="X357" s="139"/>
      <c r="Y357" s="140"/>
      <c r="Z357" s="141"/>
      <c r="AA357" s="192"/>
      <c r="AB357" s="143"/>
      <c r="AC357" s="385"/>
      <c r="AD357" s="139"/>
      <c r="AE357" s="146"/>
    </row>
    <row r="358" spans="2:31" ht="15.75" hidden="1" customHeight="1">
      <c r="B358" s="103"/>
      <c r="C358" s="387"/>
      <c r="D358" s="495"/>
      <c r="E358" s="496"/>
      <c r="F358" s="496"/>
      <c r="G358" s="496"/>
      <c r="H358" s="496"/>
      <c r="I358" s="496"/>
      <c r="J358" s="496"/>
      <c r="K358" s="496"/>
      <c r="L358" s="496"/>
      <c r="M358" s="496"/>
      <c r="N358" s="496"/>
      <c r="O358" s="497"/>
      <c r="P358" s="1"/>
      <c r="T358" s="14"/>
      <c r="U358" s="1"/>
      <c r="V358" s="1"/>
      <c r="W358" s="1"/>
      <c r="X358" s="1"/>
      <c r="Y358" s="1"/>
      <c r="Z358" s="1"/>
      <c r="AA358" s="1"/>
      <c r="AB358" s="1"/>
      <c r="AC358" s="1"/>
      <c r="AD358" s="1"/>
      <c r="AE358" s="13"/>
    </row>
    <row r="359" spans="2:31" ht="15.75" hidden="1" customHeight="1">
      <c r="B359" s="103"/>
      <c r="C359" s="387"/>
      <c r="D359" s="495"/>
      <c r="E359" s="496"/>
      <c r="F359" s="496"/>
      <c r="G359" s="496"/>
      <c r="H359" s="496"/>
      <c r="I359" s="496"/>
      <c r="J359" s="496"/>
      <c r="K359" s="496"/>
      <c r="L359" s="496"/>
      <c r="M359" s="496"/>
      <c r="N359" s="496"/>
      <c r="O359" s="497"/>
      <c r="P359" s="1"/>
      <c r="T359" s="14"/>
      <c r="AC359" s="1"/>
      <c r="AD359" s="1"/>
      <c r="AE359" s="13"/>
    </row>
    <row r="360" spans="2:31" ht="15.75" hidden="1" customHeight="1" thickBot="1">
      <c r="B360" s="103"/>
      <c r="C360" s="387"/>
      <c r="D360" s="498"/>
      <c r="E360" s="499"/>
      <c r="F360" s="499"/>
      <c r="G360" s="499"/>
      <c r="H360" s="499"/>
      <c r="I360" s="499"/>
      <c r="J360" s="499"/>
      <c r="K360" s="499"/>
      <c r="L360" s="499"/>
      <c r="M360" s="499"/>
      <c r="N360" s="499"/>
      <c r="O360" s="500"/>
      <c r="P360" s="1"/>
      <c r="T360" s="14"/>
      <c r="AC360" s="1"/>
      <c r="AD360" s="1"/>
      <c r="AE360" s="13"/>
    </row>
    <row r="361" spans="2:31" ht="16.5" hidden="1" customHeight="1">
      <c r="B361" s="103"/>
      <c r="C361" s="387"/>
      <c r="D361" s="330" t="s">
        <v>443</v>
      </c>
      <c r="E361" s="387"/>
      <c r="F361" s="387"/>
      <c r="G361" s="387"/>
      <c r="H361" s="387"/>
      <c r="I361" s="387"/>
      <c r="J361" s="387"/>
      <c r="K361" s="387"/>
      <c r="L361" s="387"/>
      <c r="M361" s="387"/>
      <c r="N361" s="387"/>
      <c r="O361" s="387"/>
      <c r="P361" s="1"/>
      <c r="T361" s="14"/>
      <c r="AC361" s="1"/>
      <c r="AD361" s="1"/>
      <c r="AE361" s="13"/>
    </row>
    <row r="362" spans="2:31" ht="15.75">
      <c r="B362" s="103"/>
      <c r="C362" s="78"/>
      <c r="D362" s="78"/>
      <c r="E362" s="78"/>
      <c r="F362" s="78"/>
      <c r="G362" s="78"/>
      <c r="H362" s="78"/>
      <c r="I362" s="78"/>
      <c r="J362" s="78"/>
      <c r="K362" s="78"/>
      <c r="L362" s="78"/>
      <c r="M362" s="78"/>
      <c r="N362" s="78"/>
      <c r="O362" s="78"/>
      <c r="P362" s="1"/>
      <c r="T362" s="14"/>
      <c r="U362" s="1"/>
      <c r="V362" s="1"/>
      <c r="W362" s="1"/>
      <c r="X362" s="1"/>
      <c r="Y362" s="1"/>
      <c r="Z362" s="1"/>
      <c r="AA362" s="1"/>
      <c r="AB362" s="1"/>
      <c r="AC362" s="1"/>
      <c r="AD362" s="1"/>
      <c r="AE362" s="13"/>
    </row>
    <row r="363" spans="2:31" ht="15.75">
      <c r="B363" s="103"/>
      <c r="C363" s="387"/>
      <c r="D363" s="60"/>
      <c r="E363" s="387"/>
      <c r="F363" s="387"/>
      <c r="G363" s="387"/>
      <c r="H363" s="387"/>
      <c r="I363" s="387"/>
      <c r="J363" s="387"/>
      <c r="K363" s="387"/>
      <c r="L363" s="387"/>
      <c r="M363" s="387"/>
      <c r="N363" s="387"/>
      <c r="O363" s="387"/>
      <c r="P363" s="1"/>
      <c r="T363" s="14"/>
      <c r="U363" s="1"/>
      <c r="V363" s="1"/>
      <c r="W363" s="1"/>
      <c r="X363" s="1"/>
      <c r="Y363" s="1"/>
      <c r="Z363" s="1"/>
      <c r="AA363" s="1"/>
      <c r="AB363" s="1"/>
      <c r="AC363" s="1"/>
      <c r="AD363" s="1"/>
      <c r="AE363" s="13"/>
    </row>
    <row r="364" spans="2:31" ht="15.75">
      <c r="B364" s="103"/>
      <c r="C364" s="387" t="s">
        <v>442</v>
      </c>
      <c r="D364" s="60"/>
      <c r="E364" s="387"/>
      <c r="F364" s="387"/>
      <c r="G364" s="387"/>
      <c r="H364" s="387"/>
      <c r="I364" s="387"/>
      <c r="J364" s="387"/>
      <c r="K364" s="387"/>
      <c r="L364" s="387"/>
      <c r="M364" s="387"/>
      <c r="N364" s="387"/>
      <c r="O364" s="387"/>
      <c r="P364" s="1"/>
      <c r="T364" s="14"/>
      <c r="U364" s="1"/>
      <c r="V364" s="1"/>
      <c r="W364" s="1"/>
      <c r="X364" s="1"/>
      <c r="Y364" s="1"/>
      <c r="Z364" s="1"/>
      <c r="AA364" s="1"/>
      <c r="AB364" s="1"/>
      <c r="AC364" s="1"/>
      <c r="AD364" s="1"/>
      <c r="AE364" s="13"/>
    </row>
    <row r="365" spans="2:31" ht="15.75">
      <c r="B365" s="103"/>
      <c r="C365" s="380" t="s">
        <v>436</v>
      </c>
      <c r="D365" s="60"/>
      <c r="E365" s="387"/>
      <c r="F365" s="387"/>
      <c r="G365" s="387"/>
      <c r="H365" s="387"/>
      <c r="I365" s="387"/>
      <c r="J365" s="387"/>
      <c r="K365" s="387"/>
      <c r="L365" s="387"/>
      <c r="M365" s="387"/>
      <c r="N365" s="387"/>
      <c r="O365" s="387"/>
      <c r="P365" s="1"/>
      <c r="T365" s="14"/>
      <c r="U365" s="506" t="s">
        <v>72</v>
      </c>
      <c r="V365" s="506"/>
      <c r="W365" s="506"/>
      <c r="X365" s="506"/>
      <c r="Y365" s="506"/>
      <c r="Z365" s="1"/>
      <c r="AA365" s="14"/>
      <c r="AB365" s="385" t="str">
        <f>IF('Mon Entreprise'!K8&lt;=Annexes!R15,"Oui","Non")</f>
        <v>Oui</v>
      </c>
      <c r="AC365" s="1"/>
      <c r="AD365" s="1"/>
      <c r="AE365" s="13"/>
    </row>
    <row r="366" spans="2:31" ht="15.75">
      <c r="B366" s="168"/>
      <c r="C366" s="387"/>
      <c r="D366" s="60" t="str">
        <f>IFERROR(IF('Mon Entreprise'!K8&gt;=Annexes!O20,IF(AB354&gt;=AB356,"Le CA de référence est celui d'Avril 2019, soit une perte de "&amp;ROUND(AB354,0)&amp;" €"&amp;" ==&gt; "&amp;ROUND(AE354*100,0)&amp;" %","Le CA de référence est celui de la création, soit une perte de "&amp;ROUND(AB356,0)&amp;" €"&amp;" ==&gt; "&amp;ROUND(AE356*100,0)&amp;" %"),IF(AB354&gt;=AB355,"Le CA de référence est celui d'Avril 2019, soit une perte de "&amp;ROUND(AB354,0)&amp;" €"&amp;" ==&gt; "&amp;ROUND(AE354*100,0)&amp;" %","Le CA de référence est celui de l'exercice 2019, soit une perte de "&amp;ROUND(AB355,0)&amp;" €"&amp;" ==&gt; "&amp;ROUND(AE355*100,0)&amp;" %")),"")</f>
        <v>Le CA de référence est celui d'Avril 2019, soit une perte de 0 € ==&gt; 0 %</v>
      </c>
      <c r="E366" s="387"/>
      <c r="F366" s="387"/>
      <c r="G366" s="387"/>
      <c r="H366" s="387"/>
      <c r="I366" s="387"/>
      <c r="J366" s="387"/>
      <c r="K366" s="387"/>
      <c r="L366" s="387"/>
      <c r="M366" s="387"/>
      <c r="N366" s="387"/>
      <c r="O366" s="387"/>
      <c r="P366" s="1"/>
      <c r="T366" s="14"/>
      <c r="U366" s="386"/>
      <c r="V366" s="506" t="s">
        <v>393</v>
      </c>
      <c r="W366" s="506"/>
      <c r="X366" s="506"/>
      <c r="Y366" s="506"/>
      <c r="Z366" s="1"/>
      <c r="AA366" s="14"/>
      <c r="AB366" s="385">
        <f>IF('Mon Entreprise'!K8&gt;=Annexes!O20,IF(Y354&gt;=Y356,Y354,Y356),IF(Y354&gt;=Y355,Y354,Y355))</f>
        <v>0</v>
      </c>
      <c r="AC366" s="1"/>
      <c r="AD366" s="1"/>
      <c r="AE366" s="13"/>
    </row>
    <row r="367" spans="2:31" ht="15.75">
      <c r="B367" s="168"/>
      <c r="C367" s="387"/>
      <c r="D367" s="507" t="str">
        <f>IFERROR(IF('Mon Entreprise'!K8&gt;=Annexes!O20,"",IF(AB354&lt;AB355,"A noter qu'il convient de choisir l'option retenue par l'entreprise lors de sa demande au titre du mois Février 2021, ou a défaut celui du mois de Mars 2021, si le CA de référence était celui de février 2019, il convient de prendre"&amp;" celui d'Avril 2019 (...), soit "&amp;ROUND(AB354,0)&amp;" €"&amp;" ==&gt; "&amp;ROUND(AE354*100,0)&amp;" %","A noter qu'il convient de choisir l'option retenue par l'entreprise lors de sa demande au titre du mois Février 2021, ou "&amp;"a défaut celui du mois de Mars 2021, si le CA de référence était celui de l'exercice 2019, il convient de prendre celui de l'exercie 2019, soit une perte de "&amp;ROUND(AB355,0)&amp;" €"&amp;" ==&gt; "&amp;ROUND(AE355*100,0)&amp;" %")),"")</f>
        <v>A noter qu'il convient de choisir l'option retenue par l'entreprise lors de sa demande au titre du mois Février 2021, ou a défaut celui du mois de Mars 2021, si le CA de référence était celui de l'exercice 2019, il convient de prendre celui de l'exercie 2019, soit une perte de 0 € ==&gt; 0 %</v>
      </c>
      <c r="E367" s="507"/>
      <c r="F367" s="507"/>
      <c r="G367" s="507"/>
      <c r="H367" s="507"/>
      <c r="I367" s="507"/>
      <c r="J367" s="507"/>
      <c r="K367" s="507"/>
      <c r="L367" s="507"/>
      <c r="M367" s="507"/>
      <c r="N367" s="507"/>
      <c r="O367" s="507"/>
      <c r="P367" s="1"/>
      <c r="T367" s="14"/>
      <c r="U367" s="506" t="s">
        <v>84</v>
      </c>
      <c r="V367" s="506"/>
      <c r="W367" s="506"/>
      <c r="X367" s="506"/>
      <c r="Y367" s="506"/>
      <c r="Z367" s="1"/>
      <c r="AA367" s="14"/>
      <c r="AB367" s="381">
        <f>IF('Mon Entreprise'!K8&gt;=Annexes!O20,IF(AB354&gt;=AB356,AB354,AB356),IF(AB354&gt;=AB355,AB354,AB355))</f>
        <v>0</v>
      </c>
      <c r="AC367" s="1"/>
      <c r="AD367" s="1"/>
      <c r="AE367" s="13"/>
    </row>
    <row r="368" spans="2:31" ht="15.75">
      <c r="B368" s="168"/>
      <c r="C368" s="387"/>
      <c r="D368" s="507"/>
      <c r="E368" s="507"/>
      <c r="F368" s="507"/>
      <c r="G368" s="507"/>
      <c r="H368" s="507"/>
      <c r="I368" s="507"/>
      <c r="J368" s="507"/>
      <c r="K368" s="507"/>
      <c r="L368" s="507"/>
      <c r="M368" s="507"/>
      <c r="N368" s="507"/>
      <c r="O368" s="507"/>
      <c r="P368" s="1"/>
      <c r="T368" s="14"/>
      <c r="U368" s="506" t="s">
        <v>85</v>
      </c>
      <c r="V368" s="506"/>
      <c r="W368" s="506"/>
      <c r="X368" s="506"/>
      <c r="Y368" s="506"/>
      <c r="Z368" s="1"/>
      <c r="AA368" s="14"/>
      <c r="AB368" s="19">
        <f>IF('Mon Entreprise'!K8&gt;=Annexes!O20,IF(AB354&gt;=AB356,AE354,AE356),IF(AB354&gt;=AB355,AE354,AE355))</f>
        <v>0</v>
      </c>
      <c r="AC368" s="1"/>
      <c r="AD368" s="1"/>
      <c r="AE368" s="13"/>
    </row>
    <row r="369" spans="1:31" ht="16.5" thickBot="1">
      <c r="B369" s="103"/>
      <c r="C369" s="387"/>
      <c r="D369" s="60"/>
      <c r="E369" s="387"/>
      <c r="F369" s="387"/>
      <c r="G369" s="387"/>
      <c r="H369" s="387"/>
      <c r="I369" s="387"/>
      <c r="J369" s="387"/>
      <c r="K369" s="387"/>
      <c r="L369" s="387"/>
      <c r="M369" s="387"/>
      <c r="N369" s="387"/>
      <c r="O369" s="387"/>
      <c r="P369" s="1"/>
      <c r="T369" s="14"/>
      <c r="U369" s="1"/>
      <c r="V369" s="1"/>
      <c r="W369" s="1"/>
      <c r="X369" s="1"/>
      <c r="Y369" s="1"/>
      <c r="Z369" s="1"/>
      <c r="AA369" s="1"/>
      <c r="AB369" s="1"/>
      <c r="AC369" s="1"/>
      <c r="AD369" s="1"/>
      <c r="AE369" s="13"/>
    </row>
    <row r="370" spans="1:31" ht="15.75">
      <c r="B370" s="168"/>
      <c r="C370" s="387"/>
      <c r="D370" s="508" t="str">
        <f>IFERROR(IF(AB365="Non","Vous avez débuté votre activité après le 31 Janvier 2020, vous ne pouvez donc pas bénéficier de cette aide",IF(OR(AB381=TRUE,AND(AB368&lt;0.5,AB382=TRUE),(AB368&gt;=0.5)),IF(AB367&gt;Annexes!O5,"Dans votre cas, l'aide est Plafonnée, à "&amp;Annexes!O5&amp;" € pour le mois d'Avril","Vous pouvez bénéficier, au titre de cette aide, d'un montant de "&amp;ROUND(AB367,0)&amp;" € pour le mois d'Avril"),"L'entreprise n'a pas une perte d'au moins 50 % en Avril 2021 ou n'a pas été en fermeture Administrative")),"Vous n'avez pas indiqué de chiffre d'affaires de référence")</f>
        <v>L'entreprise n'a pas une perte d'au moins 50 % en Avril 2021 ou n'a pas été en fermeture Administrative</v>
      </c>
      <c r="E370" s="509"/>
      <c r="F370" s="509"/>
      <c r="G370" s="509"/>
      <c r="H370" s="509"/>
      <c r="I370" s="509"/>
      <c r="J370" s="509"/>
      <c r="K370" s="509"/>
      <c r="L370" s="509"/>
      <c r="M370" s="509"/>
      <c r="N370" s="509"/>
      <c r="O370" s="510"/>
      <c r="P370" s="1"/>
      <c r="T370" s="14"/>
      <c r="U370" s="1"/>
      <c r="V370" s="1"/>
      <c r="W370" s="1"/>
      <c r="X370" s="1"/>
      <c r="Y370" s="1"/>
      <c r="Z370" s="1"/>
      <c r="AA370" s="1"/>
      <c r="AB370" s="1"/>
      <c r="AC370" s="1"/>
      <c r="AD370" s="1"/>
      <c r="AE370" s="13"/>
    </row>
    <row r="371" spans="1:31" ht="15.75" customHeight="1">
      <c r="B371" s="168"/>
      <c r="C371" s="387"/>
      <c r="D371" s="511"/>
      <c r="E371" s="512"/>
      <c r="F371" s="512"/>
      <c r="G371" s="512"/>
      <c r="H371" s="512"/>
      <c r="I371" s="512"/>
      <c r="J371" s="512"/>
      <c r="K371" s="512"/>
      <c r="L371" s="512"/>
      <c r="M371" s="512"/>
      <c r="N371" s="512"/>
      <c r="O371" s="513"/>
      <c r="P371" s="1"/>
      <c r="T371" s="14"/>
      <c r="U371" s="1"/>
      <c r="V371" s="1"/>
      <c r="W371" s="1"/>
      <c r="X371" s="1"/>
      <c r="Y371" s="1"/>
      <c r="Z371" s="1"/>
      <c r="AA371" s="1"/>
      <c r="AB371" s="1"/>
      <c r="AC371" s="1"/>
      <c r="AD371" s="1"/>
      <c r="AE371" s="13"/>
    </row>
    <row r="372" spans="1:31" ht="15.75" customHeight="1">
      <c r="B372" s="103"/>
      <c r="C372" s="387"/>
      <c r="D372" s="511"/>
      <c r="E372" s="512"/>
      <c r="F372" s="512"/>
      <c r="G372" s="512"/>
      <c r="H372" s="512"/>
      <c r="I372" s="512"/>
      <c r="J372" s="512"/>
      <c r="K372" s="512"/>
      <c r="L372" s="512"/>
      <c r="M372" s="512"/>
      <c r="N372" s="512"/>
      <c r="O372" s="513"/>
      <c r="P372" s="1"/>
      <c r="T372" s="14"/>
      <c r="U372" s="1"/>
      <c r="V372" s="1"/>
      <c r="W372" s="1"/>
      <c r="X372" s="1"/>
      <c r="Y372" s="1"/>
      <c r="Z372" s="1"/>
      <c r="AA372" s="1"/>
      <c r="AB372" s="1"/>
      <c r="AC372" s="1"/>
      <c r="AD372" s="1"/>
      <c r="AE372" s="13"/>
    </row>
    <row r="373" spans="1:31" ht="15.75" customHeight="1" thickBot="1">
      <c r="B373" s="103"/>
      <c r="C373" s="387"/>
      <c r="D373" s="514"/>
      <c r="E373" s="515"/>
      <c r="F373" s="515"/>
      <c r="G373" s="515"/>
      <c r="H373" s="515"/>
      <c r="I373" s="515"/>
      <c r="J373" s="515"/>
      <c r="K373" s="515"/>
      <c r="L373" s="515"/>
      <c r="M373" s="515"/>
      <c r="N373" s="515"/>
      <c r="O373" s="516"/>
      <c r="P373" s="1"/>
      <c r="T373" s="14"/>
      <c r="U373" s="1"/>
      <c r="V373" s="1"/>
      <c r="W373" s="1"/>
      <c r="X373" s="1"/>
      <c r="Y373" s="1"/>
      <c r="Z373" s="1"/>
      <c r="AA373" s="1"/>
      <c r="AB373" s="1"/>
      <c r="AC373" s="1"/>
      <c r="AD373" s="1"/>
      <c r="AE373" s="13"/>
    </row>
    <row r="374" spans="1:31" ht="16.5" customHeight="1">
      <c r="B374" s="103"/>
      <c r="C374" s="169"/>
      <c r="D374" s="517"/>
      <c r="E374" s="517"/>
      <c r="F374" s="517"/>
      <c r="G374" s="517"/>
      <c r="H374" s="517"/>
      <c r="I374" s="517"/>
      <c r="J374" s="517"/>
      <c r="K374" s="517"/>
      <c r="L374" s="517"/>
      <c r="M374" s="517"/>
      <c r="N374" s="517"/>
      <c r="O374" s="517"/>
      <c r="P374" s="1"/>
      <c r="T374" s="518" t="s">
        <v>4</v>
      </c>
      <c r="U374" s="519"/>
      <c r="V374" s="519"/>
      <c r="W374" s="519"/>
      <c r="X374" s="519"/>
      <c r="Y374" s="519"/>
      <c r="Z374" s="139"/>
      <c r="AA374" s="145"/>
      <c r="AB374" s="194">
        <f>IFERROR(IF('Mon Entreprise'!K8&gt;=Annexes!Q18,0,1-'Mon Entreprise'!M118/2/AB366),0)</f>
        <v>0</v>
      </c>
      <c r="AC374" s="1"/>
      <c r="AD374" s="1"/>
      <c r="AE374" s="13"/>
    </row>
    <row r="375" spans="1:31" ht="16.5" customHeight="1">
      <c r="B375" s="103"/>
      <c r="C375" s="387"/>
      <c r="D375" s="306"/>
      <c r="E375" s="306"/>
      <c r="F375" s="306"/>
      <c r="G375" s="306"/>
      <c r="H375" s="306"/>
      <c r="I375" s="306"/>
      <c r="J375" s="306"/>
      <c r="K375" s="306"/>
      <c r="L375" s="306"/>
      <c r="M375" s="306"/>
      <c r="N375" s="306"/>
      <c r="O375" s="306"/>
      <c r="P375" s="1"/>
      <c r="T375" s="110"/>
      <c r="U375" s="520" t="s">
        <v>102</v>
      </c>
      <c r="V375" s="520"/>
      <c r="W375" s="520"/>
      <c r="X375" s="520"/>
      <c r="Y375" s="520"/>
      <c r="Z375" s="139"/>
      <c r="AA375" s="145"/>
      <c r="AB375" s="194">
        <f>IFERROR(IF('Mon Entreprise'!K8&gt;Annexes!Q29,0,IF('Mon Entreprise'!K8&gt;Annexes!Q26,1,1-'Mon Entreprise'!M114/AB366)),0)</f>
        <v>0</v>
      </c>
      <c r="AC375" s="1"/>
      <c r="AD375" s="1"/>
      <c r="AE375" s="13"/>
    </row>
    <row r="376" spans="1:31" ht="16.5" customHeight="1">
      <c r="B376" s="103"/>
      <c r="C376" s="505" t="s">
        <v>452</v>
      </c>
      <c r="D376" s="505"/>
      <c r="E376" s="505"/>
      <c r="F376" s="505"/>
      <c r="G376" s="505"/>
      <c r="H376" s="505"/>
      <c r="I376" s="505"/>
      <c r="J376" s="505"/>
      <c r="K376" s="505"/>
      <c r="L376" s="505"/>
      <c r="M376" s="505"/>
      <c r="N376" s="505"/>
      <c r="O376" s="505"/>
      <c r="P376" s="1"/>
      <c r="T376" s="110"/>
      <c r="U376" s="520" t="s">
        <v>109</v>
      </c>
      <c r="V376" s="520"/>
      <c r="W376" s="520"/>
      <c r="X376" s="520"/>
      <c r="Y376" s="520"/>
      <c r="Z376" s="139"/>
      <c r="AA376" s="145"/>
      <c r="AB376" s="194">
        <f>IFERROR(IF(Annexes!O27&gt;'Mon Entreprise'!K8,1-'Mon Entreprise'!M98/'Mon Entreprise'!I98,0),0)</f>
        <v>0</v>
      </c>
      <c r="AC376" s="1"/>
      <c r="AD376" s="1"/>
      <c r="AE376" s="13"/>
    </row>
    <row r="377" spans="1:31" ht="16.5" customHeight="1">
      <c r="B377" s="103"/>
      <c r="C377" s="505"/>
      <c r="D377" s="505"/>
      <c r="E377" s="505"/>
      <c r="F377" s="505"/>
      <c r="G377" s="505"/>
      <c r="H377" s="505"/>
      <c r="I377" s="505"/>
      <c r="J377" s="505"/>
      <c r="K377" s="505"/>
      <c r="L377" s="505"/>
      <c r="M377" s="505"/>
      <c r="N377" s="505"/>
      <c r="O377" s="505"/>
      <c r="P377" s="1"/>
      <c r="T377" s="110"/>
      <c r="U377" s="382"/>
      <c r="V377" s="382"/>
      <c r="W377" s="382"/>
      <c r="X377" s="382"/>
      <c r="Y377" s="382"/>
      <c r="Z377" s="139"/>
      <c r="AA377" s="145"/>
      <c r="AB377" s="194"/>
      <c r="AC377" s="1"/>
      <c r="AD377" s="1"/>
      <c r="AE377" s="13"/>
    </row>
    <row r="378" spans="1:31" ht="16.5" customHeight="1">
      <c r="B378" s="103"/>
      <c r="C378" s="505"/>
      <c r="D378" s="505"/>
      <c r="E378" s="505"/>
      <c r="F378" s="505"/>
      <c r="G378" s="505"/>
      <c r="H378" s="505"/>
      <c r="I378" s="505"/>
      <c r="J378" s="505"/>
      <c r="K378" s="505"/>
      <c r="L378" s="505"/>
      <c r="M378" s="505"/>
      <c r="N378" s="505"/>
      <c r="O378" s="505"/>
      <c r="P378" s="1"/>
      <c r="T378" s="14"/>
      <c r="U378" s="521" t="s">
        <v>8</v>
      </c>
      <c r="V378" s="521"/>
      <c r="W378" s="521"/>
      <c r="X378" s="521"/>
      <c r="Y378" s="521"/>
      <c r="Z378" s="1"/>
      <c r="AA378" s="14"/>
      <c r="AB378" s="381" t="str">
        <f>IF((AND(Annexes!F5&gt;1,Annexes!F5&lt;=Annexes!H6)),"OUI","NON")</f>
        <v>NON</v>
      </c>
      <c r="AC378" s="1"/>
      <c r="AD378" s="1"/>
      <c r="AE378" s="13"/>
    </row>
    <row r="379" spans="1:31" ht="16.5" customHeight="1">
      <c r="B379" s="103"/>
      <c r="C379" s="505"/>
      <c r="D379" s="505"/>
      <c r="E379" s="505"/>
      <c r="F379" s="505"/>
      <c r="G379" s="505"/>
      <c r="H379" s="505"/>
      <c r="I379" s="505"/>
      <c r="J379" s="505"/>
      <c r="K379" s="505"/>
      <c r="L379" s="505"/>
      <c r="M379" s="505"/>
      <c r="N379" s="505"/>
      <c r="O379" s="505"/>
      <c r="P379" s="1"/>
      <c r="T379" s="14"/>
      <c r="U379" s="383"/>
      <c r="V379" s="383"/>
      <c r="W379" s="383"/>
      <c r="X379" s="383"/>
      <c r="Y379" s="383" t="s">
        <v>9</v>
      </c>
      <c r="Z379" s="1"/>
      <c r="AA379" s="14"/>
      <c r="AB379" s="381" t="str">
        <f>IF(AND(Annexes!F7&gt;1,Annexes!F7&lt;=Annexes!H8),"OUI","NON")</f>
        <v>NON</v>
      </c>
      <c r="AC379" s="1"/>
      <c r="AD379" s="1"/>
      <c r="AE379" s="13"/>
    </row>
    <row r="380" spans="1:31" ht="16.5" customHeight="1">
      <c r="B380" s="103"/>
      <c r="C380" s="387"/>
      <c r="D380" s="306"/>
      <c r="E380" s="417" t="str">
        <f>IF(AB384="NON","",IF(OR(AB378="OUI",AND(OR(AB380="OUI",AB379="OUI"),OR(AB374&gt;=Annexes!P5,AB375&gt;=Annexes!P5,'Mes Aides'!AB145&gt;=0.1)),AB381=TRUE,AB382=TRUE),"",IF(AND(OR(AB380="OUI",AB379="OUI"),OR(AB374&lt;Annexes!P5,AB375&lt;Annexes!P5,'Mes Aides'!AB198&lt;0.1)),"L'entreprise fait partie des entreprises mentionnées en annexe 2 ou 3 du décret mais n'a pas eu une perte de CA d'au-Moins 80 %, entre le 15/03/2020 et le 15/05/2020 ou Novembre 2020 ou 10 % entre 2019 et 2020","L'entreprise ne fait pas partie des entreprises ayant une fermeture administrative avec 20 % de perte et ne fait pas partie des activités mentionnées aux annexes 1, 2 et 3 ou dans un centre commercial du décret ayant une perte significative.")))</f>
        <v>L'entreprise ne fait pas partie des entreprises ayant une fermeture administrative avec 20 % de perte et ne fait pas partie des activités mentionnées aux annexes 1, 2 et 3 ou dans un centre commercial du décret ayant une perte significative.</v>
      </c>
      <c r="F380" s="417"/>
      <c r="G380" s="417"/>
      <c r="H380" s="417"/>
      <c r="I380" s="417"/>
      <c r="J380" s="417"/>
      <c r="K380" s="417"/>
      <c r="L380" s="417"/>
      <c r="M380" s="417"/>
      <c r="N380" s="417"/>
      <c r="O380" s="417"/>
      <c r="P380" s="1"/>
      <c r="T380" s="491" t="s">
        <v>455</v>
      </c>
      <c r="U380" s="490"/>
      <c r="V380" s="490"/>
      <c r="W380" s="490"/>
      <c r="X380" s="490"/>
      <c r="Y380" s="490"/>
      <c r="Z380" s="1"/>
      <c r="AA380" s="14"/>
      <c r="AB380" s="381" t="str">
        <f>IF(OR(Annexes!M17=TRUE,Annexes!M23=TRUE,Annexes!M24=TRUE),"OUI","NON")</f>
        <v>NON</v>
      </c>
      <c r="AC380" s="1"/>
      <c r="AD380" s="1"/>
      <c r="AE380" s="13"/>
    </row>
    <row r="381" spans="1:31" ht="16.5" customHeight="1">
      <c r="B381" s="103"/>
      <c r="C381" s="387"/>
      <c r="D381" s="306"/>
      <c r="E381" s="417"/>
      <c r="F381" s="417"/>
      <c r="G381" s="417"/>
      <c r="H381" s="417"/>
      <c r="I381" s="417"/>
      <c r="J381" s="417"/>
      <c r="K381" s="417"/>
      <c r="L381" s="417"/>
      <c r="M381" s="417"/>
      <c r="N381" s="417"/>
      <c r="O381" s="417"/>
      <c r="P381" s="1"/>
      <c r="T381" s="14"/>
      <c r="U381" s="490" t="s">
        <v>313</v>
      </c>
      <c r="V381" s="490"/>
      <c r="W381" s="490"/>
      <c r="X381" s="490"/>
      <c r="Y381" s="490"/>
      <c r="Z381" s="1"/>
      <c r="AA381" s="14"/>
      <c r="AB381" s="381" t="b">
        <f>IF(Annexes!M29=TRUE,TRUE,FALSE)</f>
        <v>0</v>
      </c>
      <c r="AC381" s="1"/>
      <c r="AD381" s="1"/>
      <c r="AE381" s="13"/>
    </row>
    <row r="382" spans="1:31" ht="16.5" customHeight="1">
      <c r="B382" s="168"/>
      <c r="C382" s="387"/>
      <c r="D382" s="306"/>
      <c r="E382" s="417"/>
      <c r="F382" s="417"/>
      <c r="G382" s="417"/>
      <c r="H382" s="417"/>
      <c r="I382" s="417"/>
      <c r="J382" s="417"/>
      <c r="K382" s="417"/>
      <c r="L382" s="417"/>
      <c r="M382" s="417"/>
      <c r="N382" s="417"/>
      <c r="O382" s="417"/>
      <c r="P382" s="1"/>
      <c r="T382" s="14"/>
      <c r="U382" s="490" t="s">
        <v>394</v>
      </c>
      <c r="V382" s="490"/>
      <c r="W382" s="490"/>
      <c r="X382" s="490"/>
      <c r="Y382" s="490"/>
      <c r="Z382" s="1"/>
      <c r="AA382" s="14"/>
      <c r="AB382" s="381" t="b">
        <f>IF(Annexes!M30=TRUE,TRUE,FALSE)</f>
        <v>0</v>
      </c>
      <c r="AC382" s="1"/>
      <c r="AD382" s="1"/>
      <c r="AE382" s="13"/>
    </row>
    <row r="383" spans="1:31" ht="16.5" customHeight="1">
      <c r="A383" s="99"/>
      <c r="B383" s="103"/>
      <c r="C383" s="387"/>
      <c r="D383" s="523" t="str">
        <f>IFERROR(IF('Mon Entreprise'!K8&gt;=Annexes!O20,IF(AB354&gt;=AB356,"- Le CA de référence est celui d'Avril 2019, soit une perte de "&amp;ROUND(AB354,0)&amp;" €"&amp;" ==&gt; "&amp;ROUND(AE354*100,0)&amp;" %","- Le CA de référence est celui de la création, soit une perte de "&amp;ROUND(AB356,0)&amp;" €"&amp;" ==&gt; "&amp;ROUND(AE356*100,0)&amp;" %"),IF(AB354&gt;=AB355,"- Le CA de référence est celui d'Avril 2019, soit une perte de "&amp;ROUND(AB354,0)&amp;" €"&amp;" ==&gt; "&amp;ROUND(AE354*100,0)&amp;" %","- Le CA de référence est celui de l'exercice 2019, soit une perte de "&amp;ROUND(AB355,0)&amp;" €"&amp;" ==&gt; "&amp;ROUND(AE355*100,0)&amp;" %")),"")</f>
        <v>- Le CA de référence est celui d'Avril 2019, soit une perte de 0 € ==&gt; 0 %</v>
      </c>
      <c r="E383" s="523"/>
      <c r="F383" s="523"/>
      <c r="G383" s="523"/>
      <c r="H383" s="523"/>
      <c r="I383" s="523"/>
      <c r="J383" s="523"/>
      <c r="K383" s="523"/>
      <c r="L383" s="523"/>
      <c r="M383" s="523"/>
      <c r="N383" s="523"/>
      <c r="O383" s="523"/>
      <c r="P383" s="1"/>
      <c r="T383" s="14"/>
      <c r="U383" s="381"/>
      <c r="V383" s="381"/>
      <c r="W383" s="381"/>
      <c r="X383" s="381"/>
      <c r="Y383" s="381"/>
      <c r="Z383" s="1"/>
      <c r="AA383" s="14"/>
      <c r="AB383" s="381"/>
      <c r="AC383" s="1"/>
      <c r="AD383" s="1"/>
      <c r="AE383" s="13"/>
    </row>
    <row r="384" spans="1:31" ht="16.5" customHeight="1">
      <c r="A384" s="99"/>
      <c r="B384" s="103"/>
      <c r="C384" s="387"/>
      <c r="D384" s="524" t="str">
        <f>IFERROR(IF('Mon Entreprise'!K8&gt;=Annexes!O20,"",IF(AB354&lt;AB355,"A noter qu'il convient de choisir l'option retenue par l'entreprise lors de sa demande au titre du mois Février 2021, ou a défaut celui du mois de Mars 2021, si le CA de référence était celui de février 2019,"&amp;" il convient de prendre celui d'Avril 2019 (...), soit "&amp;ROUND(AB354,0)&amp;" €"&amp;" ==&gt; "&amp;ROUND(AE354*100,0)&amp;" %","A noter qu'il convient de choisir l'option retenue par l'entreprise lors de sa demande"&amp;" au titre du mois Février 2021,  ou a défaut celui du mois de Mars 2021, si le CA de référence était celui de l'exercice 2019, il convient de prendre celui de l'exercie 2019, soit une perte de "&amp;ROUND(AB355,0)&amp;" €"&amp;" ==&gt; "&amp;ROUND(AE355*100,0)&amp;" %")),"")</f>
        <v>A noter qu'il convient de choisir l'option retenue par l'entreprise lors de sa demande au titre du mois Février 2021,  ou a défaut celui du mois de Mars 2021, si le CA de référence était celui de l'exercice 2019, il convient de prendre celui de l'exercie 2019, soit une perte de 0 € ==&gt; 0 %</v>
      </c>
      <c r="E384" s="524"/>
      <c r="F384" s="524"/>
      <c r="G384" s="524"/>
      <c r="H384" s="524"/>
      <c r="I384" s="524"/>
      <c r="J384" s="524"/>
      <c r="K384" s="524"/>
      <c r="L384" s="524"/>
      <c r="M384" s="524"/>
      <c r="N384" s="524"/>
      <c r="O384" s="524"/>
      <c r="P384" s="1"/>
      <c r="T384" s="14"/>
      <c r="U384" s="525" t="s">
        <v>72</v>
      </c>
      <c r="V384" s="525"/>
      <c r="W384" s="525"/>
      <c r="X384" s="525"/>
      <c r="Y384" s="525"/>
      <c r="Z384" s="139"/>
      <c r="AA384" s="145"/>
      <c r="AB384" s="385" t="str">
        <f>IF(AB365="Oui","Oui","Non")</f>
        <v>Oui</v>
      </c>
      <c r="AC384" s="139"/>
      <c r="AD384" s="1"/>
      <c r="AE384" s="13"/>
    </row>
    <row r="385" spans="1:31" ht="16.5" customHeight="1">
      <c r="A385" s="99"/>
      <c r="B385" s="103"/>
      <c r="C385" s="387"/>
      <c r="D385" s="524"/>
      <c r="E385" s="524"/>
      <c r="F385" s="524"/>
      <c r="G385" s="524"/>
      <c r="H385" s="524"/>
      <c r="I385" s="524"/>
      <c r="J385" s="524"/>
      <c r="K385" s="524"/>
      <c r="L385" s="524"/>
      <c r="M385" s="524"/>
      <c r="N385" s="524"/>
      <c r="O385" s="524"/>
      <c r="P385" s="1"/>
      <c r="T385" s="14"/>
      <c r="U385" s="525" t="s">
        <v>84</v>
      </c>
      <c r="V385" s="525"/>
      <c r="W385" s="525"/>
      <c r="X385" s="525"/>
      <c r="Y385" s="525"/>
      <c r="Z385" s="139"/>
      <c r="AA385" s="145"/>
      <c r="AB385" s="385">
        <f>IF('Mon Entreprise'!K8&gt;=Annexes!O20,IF(AB354&gt;=AB356,AB354,AB356),IF(AB354&gt;=AB355,AB354,AB355))</f>
        <v>0</v>
      </c>
      <c r="AC385" s="139"/>
      <c r="AD385" s="1"/>
      <c r="AE385" s="13"/>
    </row>
    <row r="386" spans="1:31" ht="16.5" customHeight="1">
      <c r="B386" s="103"/>
      <c r="C386" s="387"/>
      <c r="D386" s="215" t="str">
        <f>IF(OR(AB378="OUI",AB381=TRUE),"- Sans ticket modérateur",IF(AND(OR(AB380="OUI",AB379="OUI"),OR(AB374&gt;=0.8,AB375&gt;=0.8,AB376&gt;=0.1)),"- La Perte de référence est plafonnée à 80 %, soit "&amp;ROUND(AB389,0)&amp;" €","- Sans ticket modérateur"))</f>
        <v>- Sans ticket modérateur</v>
      </c>
      <c r="E386" s="377"/>
      <c r="F386" s="377"/>
      <c r="G386" s="377"/>
      <c r="H386" s="377"/>
      <c r="I386" s="377"/>
      <c r="J386" s="377"/>
      <c r="K386" s="377"/>
      <c r="L386" s="377"/>
      <c r="M386" s="377"/>
      <c r="N386" s="377"/>
      <c r="O386" s="377"/>
      <c r="P386" s="1"/>
      <c r="T386" s="14"/>
      <c r="U386" s="525" t="s">
        <v>85</v>
      </c>
      <c r="V386" s="525"/>
      <c r="W386" s="525"/>
      <c r="X386" s="525"/>
      <c r="Y386" s="525"/>
      <c r="Z386" s="139"/>
      <c r="AA386" s="145"/>
      <c r="AB386" s="385">
        <f>IF('Mon Entreprise'!K8&gt;=Annexes!O20,IF(AB354&gt;=AB356,AE354,AE356),IF(AB354&gt;=AB355,AE354,AE355))</f>
        <v>0</v>
      </c>
      <c r="AC386" s="139"/>
      <c r="AD386" s="1"/>
      <c r="AE386" s="13"/>
    </row>
    <row r="387" spans="1:31" ht="16.5" customHeight="1" thickBot="1">
      <c r="B387" s="103"/>
      <c r="C387" s="387"/>
      <c r="D387" s="377"/>
      <c r="E387" s="377"/>
      <c r="F387" s="377"/>
      <c r="G387" s="377"/>
      <c r="H387" s="377"/>
      <c r="I387" s="377"/>
      <c r="J387" s="377"/>
      <c r="K387" s="377"/>
      <c r="L387" s="377"/>
      <c r="M387" s="377"/>
      <c r="N387" s="377"/>
      <c r="O387" s="377"/>
      <c r="P387" s="1"/>
      <c r="T387" s="14"/>
      <c r="U387" s="502" t="s">
        <v>74</v>
      </c>
      <c r="V387" s="502"/>
      <c r="W387" s="502"/>
      <c r="X387" s="502"/>
      <c r="Y387" s="502"/>
      <c r="Z387" s="139"/>
      <c r="AA387" s="145"/>
      <c r="AB387" s="385">
        <f>IF(OR(AB378="OUI",AB381=TRUE),1,IF(AND(OR(AB380="OUI",AB379="OUI"),OR(AB374&gt;=0.8,AB375&gt;=0.8,AB376&gt;=0.1)),0.8,1))</f>
        <v>1</v>
      </c>
      <c r="AC387" s="139"/>
      <c r="AD387" s="1"/>
      <c r="AE387" s="13"/>
    </row>
    <row r="388" spans="1:31" ht="16.5" customHeight="1">
      <c r="B388" s="103"/>
      <c r="C388" s="387"/>
      <c r="D388" s="508" t="str">
        <f>IFERROR(IF(AB384="NON","Vous avez débuté votre activité après le 31 Janvier 2020, vous ne pouvez donc pas bénéficier de cette aide",IF(OR(AB381=TRUE,AND(AB382=TRUE,AB386&gt;=0.5)),IF(AB389&gt;Annexes!O6,"Dans votre cas, l'aide est Plafonnée, à "&amp;Annexes!O6&amp;" € pour le mois d'Avril","Vous pouvez bénéficier, au titre de cette aide, d'un montant de "&amp;ROUND(AB389,0)&amp;" € pour le mois d'Avril"),IF(AB386&gt;=0.5,IF(OR(AB378="OUI",AND(OR(AB380="OUI",AB379="OUI"),OR(AB374&gt;=Annexes!P5,AB375&gt;=Annexes!P5,AB376&gt;=0.1))),IF(AB389&gt;Annexes!O6,"Dans votre cas, l'aide est Plafonnée, à "&amp;Annexes!O6&amp;" € pour le mois d'Avril","Vous pouvez bénéficier, au titre de cette aide, d'un montant de "&amp;ROUND(AB389,0)&amp;" € pour le mois d'Avril"),IF(AND(OR(AB380="OUI",AB379="OUI"),OR(AB374&lt;Annexes!P5,AB375&lt;Annexes!P5)),"L'entreprise fait partie des entreprises mentionnées en annexe 2 ou 3 ou dans un centre commercial du décret, mais n'a pas eu une perte de CA d'au-Moins 80 % entre le 15/03/2020 et le 15/05/2020 "&amp;"ou au mois de Novembre 2020 ou 10 % de perte entre 2019 et 2020","L'entreprise ne fait pas partie des entreprises"&amp;" ayant une fermeture administrative avec une perte de 20 % de CA et ne fait pas partie des activités mentionnées aux annexes 1, 2 et 3 ou dans un centre commercial du décret")),"L'entreprise n'a pas une perte d'au moins 50 % en Avril 2021"))),"Vous n'avez pas indiqué de chiffre d'affaires de référence")</f>
        <v>L'entreprise n'a pas une perte d'au moins 50 % en Avril 2021</v>
      </c>
      <c r="E388" s="509"/>
      <c r="F388" s="509"/>
      <c r="G388" s="509"/>
      <c r="H388" s="509"/>
      <c r="I388" s="509"/>
      <c r="J388" s="509"/>
      <c r="K388" s="509"/>
      <c r="L388" s="509"/>
      <c r="M388" s="509"/>
      <c r="N388" s="509"/>
      <c r="O388" s="510"/>
      <c r="P388" s="1"/>
      <c r="T388" s="14"/>
      <c r="U388" s="502" t="s">
        <v>80</v>
      </c>
      <c r="V388" s="502"/>
      <c r="W388" s="502"/>
      <c r="X388" s="502"/>
      <c r="Y388" s="502"/>
      <c r="Z388" s="139"/>
      <c r="AA388" s="145"/>
      <c r="AB388" s="385">
        <f>IF('Mon Entreprise'!K8&gt;=Annexes!O20,IF(AB354&gt;=AB356,Y354,Y356),IF(AB354&gt;=AB355,Y354,Y355))</f>
        <v>0</v>
      </c>
      <c r="AC388" s="139"/>
      <c r="AD388" s="1"/>
      <c r="AE388" s="13"/>
    </row>
    <row r="389" spans="1:31" ht="16.5" customHeight="1">
      <c r="B389" s="173"/>
      <c r="C389" s="387"/>
      <c r="D389" s="511"/>
      <c r="E389" s="512"/>
      <c r="F389" s="512"/>
      <c r="G389" s="512"/>
      <c r="H389" s="512"/>
      <c r="I389" s="512"/>
      <c r="J389" s="512"/>
      <c r="K389" s="512"/>
      <c r="L389" s="512"/>
      <c r="M389" s="512"/>
      <c r="N389" s="512"/>
      <c r="O389" s="513"/>
      <c r="P389" s="1"/>
      <c r="T389" s="14"/>
      <c r="U389" s="490" t="s">
        <v>104</v>
      </c>
      <c r="V389" s="490"/>
      <c r="W389" s="490"/>
      <c r="X389" s="490"/>
      <c r="Y389" s="490"/>
      <c r="Z389" s="1"/>
      <c r="AA389" s="14"/>
      <c r="AB389" s="381">
        <f>IF(AB387=1,AB385,IF(AB385*AB387&gt;1500,IF(AB385&gt;1500,AB385*AB387,"Impossible"),IF(AB385&lt;1500,AB385,1500)))</f>
        <v>0</v>
      </c>
      <c r="AC389" s="1"/>
      <c r="AD389" s="1"/>
      <c r="AE389" s="13"/>
    </row>
    <row r="390" spans="1:31" ht="16.5" customHeight="1">
      <c r="B390" s="103"/>
      <c r="C390" s="387"/>
      <c r="D390" s="511"/>
      <c r="E390" s="512"/>
      <c r="F390" s="512"/>
      <c r="G390" s="512"/>
      <c r="H390" s="512"/>
      <c r="I390" s="512"/>
      <c r="J390" s="512"/>
      <c r="K390" s="512"/>
      <c r="L390" s="512"/>
      <c r="M390" s="512"/>
      <c r="N390" s="512"/>
      <c r="O390" s="513"/>
      <c r="P390" s="1"/>
      <c r="T390" s="14"/>
      <c r="U390" s="381"/>
      <c r="V390" s="381"/>
      <c r="W390" s="381"/>
      <c r="X390" s="381"/>
      <c r="Y390" s="381"/>
      <c r="Z390" s="1"/>
      <c r="AA390" s="1"/>
      <c r="AB390" s="1"/>
      <c r="AC390" s="1"/>
      <c r="AD390" s="1"/>
      <c r="AE390" s="13"/>
    </row>
    <row r="391" spans="1:31" ht="16.5" customHeight="1" thickBot="1">
      <c r="B391" s="103"/>
      <c r="C391" s="387"/>
      <c r="D391" s="514"/>
      <c r="E391" s="515"/>
      <c r="F391" s="515"/>
      <c r="G391" s="515"/>
      <c r="H391" s="515"/>
      <c r="I391" s="515"/>
      <c r="J391" s="515"/>
      <c r="K391" s="515"/>
      <c r="L391" s="515"/>
      <c r="M391" s="515"/>
      <c r="N391" s="515"/>
      <c r="O391" s="516"/>
      <c r="P391" s="1"/>
      <c r="T391" s="14"/>
      <c r="U391" s="490"/>
      <c r="V391" s="490"/>
      <c r="W391" s="490"/>
      <c r="X391" s="490"/>
      <c r="Y391" s="490"/>
      <c r="Z391" s="1"/>
      <c r="AA391" s="1"/>
      <c r="AB391" s="1"/>
      <c r="AC391" s="1"/>
      <c r="AD391" s="1"/>
      <c r="AE391" s="13"/>
    </row>
    <row r="392" spans="1:31" ht="16.5" customHeight="1">
      <c r="B392" s="103"/>
      <c r="C392" s="169"/>
      <c r="D392" s="174"/>
      <c r="E392" s="174"/>
      <c r="F392" s="174"/>
      <c r="G392" s="174"/>
      <c r="H392" s="174"/>
      <c r="I392" s="174"/>
      <c r="J392" s="174"/>
      <c r="K392" s="174"/>
      <c r="L392" s="174"/>
      <c r="M392" s="174"/>
      <c r="N392" s="174"/>
      <c r="O392" s="174"/>
      <c r="P392" s="1"/>
      <c r="T392" s="14"/>
      <c r="U392" s="381"/>
      <c r="V392" s="381"/>
      <c r="W392" s="381"/>
      <c r="X392" s="381"/>
      <c r="Y392" s="381"/>
      <c r="Z392" s="1"/>
      <c r="AA392" s="1"/>
      <c r="AB392" s="1"/>
      <c r="AC392" s="1"/>
      <c r="AD392" s="1"/>
      <c r="AE392" s="13"/>
    </row>
    <row r="393" spans="1:31" ht="16.5" customHeight="1">
      <c r="B393" s="103"/>
      <c r="C393" s="387"/>
      <c r="D393" s="377"/>
      <c r="E393" s="377"/>
      <c r="F393" s="377"/>
      <c r="G393" s="377"/>
      <c r="H393" s="377"/>
      <c r="I393" s="377"/>
      <c r="J393" s="377"/>
      <c r="K393" s="377"/>
      <c r="L393" s="377"/>
      <c r="M393" s="377"/>
      <c r="N393" s="377"/>
      <c r="O393" s="377"/>
      <c r="P393" s="1"/>
      <c r="T393" s="14"/>
      <c r="U393" s="1"/>
      <c r="V393" s="1"/>
      <c r="W393" s="1"/>
      <c r="X393" s="1"/>
      <c r="Y393" s="1"/>
      <c r="Z393" s="1"/>
      <c r="AA393" s="1"/>
      <c r="AB393" s="1"/>
      <c r="AC393" s="1"/>
      <c r="AD393" s="1"/>
      <c r="AE393" s="13"/>
    </row>
    <row r="394" spans="1:31" ht="16.5" customHeight="1">
      <c r="B394" s="103"/>
      <c r="C394" s="529" t="s">
        <v>453</v>
      </c>
      <c r="D394" s="529"/>
      <c r="E394" s="529"/>
      <c r="F394" s="529"/>
      <c r="G394" s="529"/>
      <c r="H394" s="529"/>
      <c r="I394" s="529"/>
      <c r="J394" s="529"/>
      <c r="K394" s="529"/>
      <c r="L394" s="529"/>
      <c r="M394" s="529"/>
      <c r="N394" s="529"/>
      <c r="O394" s="529"/>
      <c r="P394" s="1"/>
      <c r="T394" s="14"/>
      <c r="U394" s="1"/>
      <c r="V394" s="1"/>
      <c r="W394" s="1"/>
      <c r="X394" s="1"/>
      <c r="Y394" s="1"/>
      <c r="Z394" s="1"/>
      <c r="AA394" s="1"/>
      <c r="AB394" s="1"/>
      <c r="AC394" s="1"/>
      <c r="AD394" s="1"/>
      <c r="AE394" s="13"/>
    </row>
    <row r="395" spans="1:31" ht="16.5" customHeight="1">
      <c r="B395" s="103"/>
      <c r="C395" s="529"/>
      <c r="D395" s="529"/>
      <c r="E395" s="529"/>
      <c r="F395" s="529"/>
      <c r="G395" s="529"/>
      <c r="H395" s="529"/>
      <c r="I395" s="529"/>
      <c r="J395" s="529"/>
      <c r="K395" s="529"/>
      <c r="L395" s="529"/>
      <c r="M395" s="529"/>
      <c r="N395" s="529"/>
      <c r="O395" s="529"/>
      <c r="P395" s="1"/>
      <c r="T395" s="14"/>
      <c r="U395" s="1"/>
      <c r="V395" s="1"/>
      <c r="W395" s="1"/>
      <c r="X395" s="1"/>
      <c r="Y395" s="1"/>
      <c r="Z395" s="1"/>
      <c r="AA395" s="1"/>
      <c r="AB395" s="1"/>
      <c r="AC395" s="1"/>
      <c r="AD395" s="1"/>
      <c r="AE395" s="13"/>
    </row>
    <row r="396" spans="1:31" ht="16.5" customHeight="1">
      <c r="B396" s="103"/>
      <c r="C396" s="529"/>
      <c r="D396" s="529"/>
      <c r="E396" s="529"/>
      <c r="F396" s="529"/>
      <c r="G396" s="529"/>
      <c r="H396" s="529"/>
      <c r="I396" s="529"/>
      <c r="J396" s="529"/>
      <c r="K396" s="529"/>
      <c r="L396" s="529"/>
      <c r="M396" s="529"/>
      <c r="N396" s="529"/>
      <c r="O396" s="529"/>
      <c r="P396" s="1"/>
      <c r="T396" s="14"/>
      <c r="U396" s="1"/>
      <c r="V396" s="1"/>
      <c r="W396" s="1"/>
      <c r="X396" s="1"/>
      <c r="Y396" s="1"/>
      <c r="Z396" s="1"/>
      <c r="AA396" s="1"/>
      <c r="AB396" s="1"/>
      <c r="AC396" s="1"/>
      <c r="AD396" s="1"/>
      <c r="AE396" s="13"/>
    </row>
    <row r="397" spans="1:31" ht="16.5" customHeight="1">
      <c r="B397" s="173"/>
      <c r="C397" s="529"/>
      <c r="D397" s="529"/>
      <c r="E397" s="529"/>
      <c r="F397" s="529"/>
      <c r="G397" s="529"/>
      <c r="H397" s="529"/>
      <c r="I397" s="529"/>
      <c r="J397" s="529"/>
      <c r="K397" s="529"/>
      <c r="L397" s="529"/>
      <c r="M397" s="529"/>
      <c r="N397" s="529"/>
      <c r="O397" s="529"/>
      <c r="P397" s="1"/>
      <c r="T397" s="14"/>
      <c r="U397" s="1"/>
      <c r="V397" s="1"/>
      <c r="W397" s="1"/>
      <c r="X397" s="1"/>
      <c r="Y397" s="1"/>
      <c r="Z397" s="1"/>
      <c r="AA397" s="1"/>
      <c r="AB397" s="1"/>
      <c r="AC397" s="1"/>
      <c r="AD397" s="1"/>
      <c r="AE397" s="13"/>
    </row>
    <row r="398" spans="1:31" ht="16.5" customHeight="1">
      <c r="B398" s="173"/>
      <c r="C398" s="387"/>
      <c r="D398" s="306"/>
      <c r="E398" s="523" t="str">
        <f>IF(AB384="NON","",IF(OR(AB378="OUI",AND(OR(AB380="OUI",AB379="OUI"),OR(AB374&gt;=Annexes!P5,AB375&gt;=Annexes!P5,'Mes Aides'!AB145&gt;=0.1)),AB381=TRUE,AB382=TRUE),"",IF(AND(OR(AB380="OUI",AB379="OUI"),OR(AB374&lt;Annexes!P5,AB375&lt;Annexes!P5,'Mes Aides'!AB145&lt;0.1)),"L'entreprise fait partie des entreprises mentionnées en annexe 2 ou 3 ou dans un centre commercial du décret mais n'a pas eu une perte de CA d'au-Moins 80 %, entre le 15/03/2020 et le 15/05/2020 ou Novembre 2020 ou 10 % entre 2019 et 2020","L'entreprise ne fait pas partie des entreprises ayant une fermeture administrative sur le mois avec une perte de 20 % de CA et ne fait pas partie des activités mentionnées aux annexes 1, 2 et 3 ou dans un centre commercial du décret.")))</f>
        <v>L'entreprise ne fait pas partie des entreprises ayant une fermeture administrative sur le mois avec une perte de 20 % de CA et ne fait pas partie des activités mentionnées aux annexes 1, 2 et 3 ou dans un centre commercial du décret.</v>
      </c>
      <c r="F398" s="523"/>
      <c r="G398" s="523"/>
      <c r="H398" s="523"/>
      <c r="I398" s="523"/>
      <c r="J398" s="523"/>
      <c r="K398" s="523"/>
      <c r="L398" s="523"/>
      <c r="M398" s="523"/>
      <c r="N398" s="523"/>
      <c r="O398" s="523"/>
      <c r="P398" s="1"/>
      <c r="T398" s="14"/>
      <c r="U398" s="502" t="s">
        <v>82</v>
      </c>
      <c r="V398" s="502"/>
      <c r="W398" s="502"/>
      <c r="X398" s="502"/>
      <c r="Y398" s="502"/>
      <c r="Z398" s="68"/>
      <c r="AA398" s="1"/>
      <c r="AB398" s="1">
        <f>IFERROR(IF(AB365="Non",0,IF(OR(AB381=TRUE,AND(AB368&lt;0.5,AB382=TRUE),(AB368&gt;=0.5)),IF(AB367&gt;Annexes!O5,Annexes!O5,ROUND(AB367,0)),0)),0)</f>
        <v>0</v>
      </c>
      <c r="AC398" s="1"/>
      <c r="AD398" s="1"/>
      <c r="AE398" s="13"/>
    </row>
    <row r="399" spans="1:31" ht="15" customHeight="1">
      <c r="B399" s="173"/>
      <c r="C399" s="387"/>
      <c r="D399" s="306"/>
      <c r="E399" s="523"/>
      <c r="F399" s="523"/>
      <c r="G399" s="523"/>
      <c r="H399" s="523"/>
      <c r="I399" s="523"/>
      <c r="J399" s="523"/>
      <c r="K399" s="523"/>
      <c r="L399" s="523"/>
      <c r="M399" s="523"/>
      <c r="N399" s="523"/>
      <c r="O399" s="523"/>
      <c r="P399" s="1"/>
      <c r="T399" s="14"/>
      <c r="U399" s="502" t="s">
        <v>81</v>
      </c>
      <c r="V399" s="502"/>
      <c r="W399" s="502"/>
      <c r="X399" s="502"/>
      <c r="Y399" s="502"/>
      <c r="Z399" s="68"/>
      <c r="AA399" s="1"/>
      <c r="AB399" s="1">
        <f>IFERROR(IF(AB384="NON",0,IF(OR(AB381=TRUE,AND(AB382=TRUE,AB386&gt;=0.5)),IF(AB389&gt;Annexes!O6,Annexes!O6,ROUND(AB389,0)),IF(AB386&gt;=0.5,IF(OR(AB378="OUI",AND(OR(AB380="OUI",AB379="OUI"),OR(AB374&gt;=Annexes!P5,AB375&gt;=Annexes!P5,AB376&gt;=0.1))),IF(AB389&gt;Annexes!O6,Annexes!O6,ROUND(AB389,0)),IF(AND(OR(AB380="OUI",AB379="OUI"),OR(AB374&lt;Annexes!P5,AB375&lt;Annexes!P5)),0,0)),0))),0)</f>
        <v>0</v>
      </c>
      <c r="AC399" s="1"/>
      <c r="AD399" s="1"/>
      <c r="AE399" s="13"/>
    </row>
    <row r="400" spans="1:31" ht="15" customHeight="1">
      <c r="B400" s="173"/>
      <c r="C400" s="387"/>
      <c r="D400" s="306"/>
      <c r="E400" s="523"/>
      <c r="F400" s="523"/>
      <c r="G400" s="523"/>
      <c r="H400" s="523"/>
      <c r="I400" s="523"/>
      <c r="J400" s="523"/>
      <c r="K400" s="523"/>
      <c r="L400" s="523"/>
      <c r="M400" s="523"/>
      <c r="N400" s="523"/>
      <c r="O400" s="523"/>
      <c r="P400" s="1"/>
      <c r="T400" s="14"/>
      <c r="U400" s="502" t="s">
        <v>399</v>
      </c>
      <c r="V400" s="502"/>
      <c r="W400" s="502"/>
      <c r="X400" s="502"/>
      <c r="Y400" s="502"/>
      <c r="Z400" s="68"/>
      <c r="AA400" s="1"/>
      <c r="AB400" s="1">
        <f>IFERROR(IF(AB384="NON",0,IF(OR(AB381=TRUE,AND(AB382=TRUE,AB386&gt;=0.5)),IF(AB388=0,0,IF(AB385&lt;AB388*0.2,ROUND(AB385,0),IF(AB388*0.2&gt;=200000,Annexes!O8,ROUND(AB388*0.2,0)))),IF(OR(AB378="OUI",AND(AB379="OUI",OR(AB374&gt;=0.8,AB375&gt;=0.8,AB376&gt;=0.1))),IF(AB386&gt;=0.7,IF(AB385&lt;AB388*0.2,ROUND(AB385,0),IF(AB388*0.2&gt;=200000,Annexes!O8,ROUND(AB388*0.2,0))),IF(AB386&gt;=0.5,IF(AB385&lt;AB388*0.15,ROUND(AB385,0),IF(AB388*0.15&gt;=200000,Annexes!O8,ROUND(AB388*0.15,0))),IF(AND(AB380="OUI",OR(AB374&gt;=0.8,AB375&gt;=0.8,AB376&gt;=0.1),AB386&gt;=0.7),IF(AB385&lt;AB388*0.2,ROUND(AB385,0),IF(AB388*0.2&gt;=200000,Annexes!O8,ROUND(AB388*0.2,0))),0))),IF(AND(AB380="OUI",OR(AB374&gt;=0.8,AB375&gt;=0.8,AB376&gt;=0.1),AB386&gt;=0.7),IF(AB385&lt;AB388*0.2,ROUND(AB385,0),IF(AB388*0.2&gt;=200000,Annexes!O8,ROUND(AB388*0.2,0))),0)))),0)</f>
        <v>0</v>
      </c>
      <c r="AC400" s="1"/>
      <c r="AD400" s="1"/>
      <c r="AE400" s="13"/>
    </row>
    <row r="401" spans="2:31" ht="16.5" customHeight="1">
      <c r="B401" s="173"/>
      <c r="C401" s="387"/>
      <c r="D401" s="417" t="str">
        <f>IFERROR(IF('Mon Entreprise'!K8&gt;=Annexes!O20,IF(AB354&gt;=AB356,"- Le CA de référence est celui d'Avril 2019, soit une perte de "&amp;ROUND(AB354,0)&amp;" €"&amp;" ==&gt; "&amp;ROUND(AE354*100,0)&amp;" %","- Le CA de référence est celui de la création, soit une perte de "&amp;ROUND(AB356,0)&amp;" €"&amp;" ==&gt; "&amp;ROUND(AE356*100,0)&amp;" %"),IF(AB354&gt;=AB355,"- Le CA de référence est celui d'Avril 2019, soit une perte de "&amp;ROUND(AB354,0)&amp;" €"&amp;" ==&gt; "&amp;ROUND(AE354*100,0)&amp;" %","- Le CA de référence est celui de l'exercice 2019, soit une perte de "&amp;ROUND(AB355,0)&amp;" €"&amp;" ==&gt; "&amp;ROUND(AE355*100,0)&amp;" %")),"")</f>
        <v>- Le CA de référence est celui d'Avril 2019, soit une perte de 0 € ==&gt; 0 %</v>
      </c>
      <c r="E401" s="417"/>
      <c r="F401" s="417"/>
      <c r="G401" s="417"/>
      <c r="H401" s="417"/>
      <c r="I401" s="417"/>
      <c r="J401" s="417"/>
      <c r="K401" s="417"/>
      <c r="L401" s="417"/>
      <c r="M401" s="417"/>
      <c r="N401" s="417"/>
      <c r="O401" s="417"/>
      <c r="P401" s="377"/>
      <c r="Q401" s="377"/>
      <c r="T401" s="14"/>
      <c r="U401" s="1"/>
      <c r="V401" s="1"/>
      <c r="W401" s="1"/>
      <c r="X401" s="1"/>
      <c r="Y401" s="1"/>
      <c r="Z401" s="1"/>
      <c r="AA401" s="1"/>
      <c r="AB401" s="1"/>
      <c r="AC401" s="1"/>
      <c r="AD401" s="1"/>
      <c r="AE401" s="13"/>
    </row>
    <row r="402" spans="2:31" ht="16.5" customHeight="1">
      <c r="B402" s="173"/>
      <c r="C402" s="387"/>
      <c r="D402" s="524" t="str">
        <f>IFERROR(IF('Mon Entreprise'!K8&gt;=Annexes!O20,"",IF(AB354&lt;AB355,"A noter qu'il convient de choisir l'option retenue par l'entreprise lors de sa demande au titre du mois Février 2021,  ou a défaut celui du mois de Mars 2021, si le CA de référence était celui de février 2019, il convient"&amp;" de prendre celui d'Avril 2019 (...), soit "&amp;ROUND(AB354,0)&amp;" €"&amp;" ==&gt; "&amp;ROUND(AE354*100,0)&amp;" %","A noter qu'il convient de choisir l'option retenue par l'entreprise lors de sa demande au titre du mois Février 2021, "&amp;"ou a défaut celui du mois de Mars 2021, si le CA de référence était celui de l'exercice 2019, il convient de prendre celui de l'exercie 2019, soit une perte de "&amp;ROUND(AB355,0)&amp;" €"&amp;" ==&gt; "&amp;ROUND(AE355*100,0)&amp;" %")),"")</f>
        <v>A noter qu'il convient de choisir l'option retenue par l'entreprise lors de sa demande au titre du mois Février 2021, ou a défaut celui du mois de Mars 2021, si le CA de référence était celui de l'exercice 2019, il convient de prendre celui de l'exercie 2019, soit une perte de 0 € ==&gt; 0 %</v>
      </c>
      <c r="E402" s="524"/>
      <c r="F402" s="524"/>
      <c r="G402" s="524"/>
      <c r="H402" s="524"/>
      <c r="I402" s="524"/>
      <c r="J402" s="524"/>
      <c r="K402" s="524"/>
      <c r="L402" s="524"/>
      <c r="M402" s="524"/>
      <c r="N402" s="524"/>
      <c r="O402" s="524"/>
      <c r="P402" s="377"/>
      <c r="Q402" s="377"/>
      <c r="T402" s="14"/>
      <c r="U402" s="1"/>
      <c r="V402" s="1"/>
      <c r="W402" s="1"/>
      <c r="X402" s="1"/>
      <c r="Y402" s="1"/>
      <c r="Z402" s="1"/>
      <c r="AA402" s="1"/>
      <c r="AB402" s="1"/>
      <c r="AC402" s="1"/>
      <c r="AD402" s="1"/>
      <c r="AE402" s="13"/>
    </row>
    <row r="403" spans="2:31" ht="16.5" customHeight="1">
      <c r="B403" s="173"/>
      <c r="C403" s="387"/>
      <c r="D403" s="524"/>
      <c r="E403" s="524"/>
      <c r="F403" s="524"/>
      <c r="G403" s="524"/>
      <c r="H403" s="524"/>
      <c r="I403" s="524"/>
      <c r="J403" s="524"/>
      <c r="K403" s="524"/>
      <c r="L403" s="524"/>
      <c r="M403" s="524"/>
      <c r="N403" s="524"/>
      <c r="O403" s="524"/>
      <c r="P403" s="377"/>
      <c r="Q403" s="377"/>
      <c r="T403" s="14"/>
      <c r="U403" s="1"/>
      <c r="V403" s="1"/>
      <c r="W403" s="1"/>
      <c r="X403" s="1"/>
      <c r="Y403" s="1"/>
      <c r="Z403" s="1"/>
      <c r="AA403" s="1"/>
      <c r="AB403" s="1"/>
      <c r="AC403" s="1"/>
      <c r="AD403" s="1"/>
      <c r="AE403" s="13"/>
    </row>
    <row r="404" spans="2:31" ht="16.5" customHeight="1">
      <c r="B404" s="103"/>
      <c r="C404" s="387"/>
      <c r="D404" s="523" t="str">
        <f>IF(OR(AB381=TRUE,AND(AB382=TRUE,AB386&gt;=0.5)),"- L'entreprise peut bénéficier d'une aide de 20 % du CA de référence, plafonnée à 200 000 €",IF(OR(AB378="OUI",AND(AB379="OUI",OR(AB374&gt;=0.8,AB375&gt;=0.8,AB376&gt;=0.1))),IF(AB386&gt;=0.7,"- L'entreprise peut bénéficier d'une aide de 20 % du CA de référence, plafonnée à 200 000 €",IF(AB386&gt;=0.5,"- L'entreprise peut bénéficier d'une aide de 15 % du CA de référence, plafonnée à 200 000 €","- L'entreprise n'a subi ni de fermeture administrative avec une perte de 20 % de CA au mois d'Avril, ni de perte d'au moins 50 % de son CA")),IF(AND(AB380="OUI",OR(AB374&gt;=0.8,AB375&gt;=0.8,AB376&gt;=0.1),AB386&gt;=0.5),"- L'entreprise peut bénéficier d'une aide de 20 % du CA de référence, plafonnée à 200 000 €","- L'entreprise ne fait ni partie des fermetures administratives avec une perte de 20 % du CA au mois d'Avril, ni des activités mentionnées en annexe 1 (S1) ou en annexe 2 (S1 bis) ou Annexe 3 ou dans un centre commercial ayant une perte significative")))</f>
        <v>- L'entreprise ne fait ni partie des fermetures administratives avec une perte de 20 % du CA au mois d'Avril, ni des activités mentionnées en annexe 1 (S1) ou en annexe 2 (S1 bis) ou Annexe 3 ou dans un centre commercial ayant une perte significative</v>
      </c>
      <c r="E404" s="523"/>
      <c r="F404" s="523"/>
      <c r="G404" s="523"/>
      <c r="H404" s="523"/>
      <c r="I404" s="523"/>
      <c r="J404" s="523"/>
      <c r="K404" s="523"/>
      <c r="L404" s="523"/>
      <c r="M404" s="523"/>
      <c r="N404" s="523"/>
      <c r="O404" s="523"/>
      <c r="P404" s="377"/>
      <c r="Q404" s="377"/>
      <c r="T404" s="14"/>
      <c r="U404" s="1"/>
      <c r="V404" s="1"/>
      <c r="W404" s="1"/>
      <c r="X404" s="1"/>
      <c r="Y404" s="1"/>
      <c r="Z404" s="1"/>
      <c r="AA404" s="1"/>
      <c r="AB404" s="1"/>
      <c r="AC404" s="1"/>
      <c r="AD404" s="1"/>
      <c r="AE404" s="13"/>
    </row>
    <row r="405" spans="2:31" ht="16.5" customHeight="1">
      <c r="B405" s="168"/>
      <c r="C405" s="387"/>
      <c r="D405" s="523"/>
      <c r="E405" s="523"/>
      <c r="F405" s="523"/>
      <c r="G405" s="523"/>
      <c r="H405" s="523"/>
      <c r="I405" s="523"/>
      <c r="J405" s="523"/>
      <c r="K405" s="523"/>
      <c r="L405" s="523"/>
      <c r="M405" s="523"/>
      <c r="N405" s="523"/>
      <c r="O405" s="523"/>
      <c r="P405" s="377"/>
      <c r="Q405" s="377"/>
      <c r="T405" s="14"/>
      <c r="U405" s="1"/>
      <c r="V405" s="1"/>
      <c r="W405" s="1"/>
      <c r="X405" s="1"/>
      <c r="Y405" s="1"/>
      <c r="Z405" s="1"/>
      <c r="AA405" s="1"/>
      <c r="AB405" s="1"/>
      <c r="AC405" s="1"/>
      <c r="AD405" s="1"/>
      <c r="AE405" s="13"/>
    </row>
    <row r="406" spans="2:31" ht="16.5" customHeight="1" thickBot="1">
      <c r="B406" s="168"/>
      <c r="C406" s="387"/>
      <c r="D406" s="205"/>
      <c r="E406" s="377"/>
      <c r="F406" s="377"/>
      <c r="G406" s="377"/>
      <c r="H406" s="377"/>
      <c r="I406" s="377"/>
      <c r="J406" s="377"/>
      <c r="K406" s="377"/>
      <c r="L406" s="377"/>
      <c r="M406" s="377"/>
      <c r="N406" s="377"/>
      <c r="O406" s="377"/>
      <c r="P406" s="377"/>
      <c r="Q406" s="377"/>
      <c r="T406" s="14"/>
      <c r="U406" s="1"/>
      <c r="V406" s="1"/>
      <c r="W406" s="1"/>
      <c r="X406" s="1"/>
      <c r="Y406" s="1"/>
      <c r="Z406" s="1"/>
      <c r="AA406" s="1"/>
      <c r="AB406" s="1"/>
      <c r="AC406" s="1"/>
      <c r="AD406" s="1"/>
      <c r="AE406" s="13"/>
    </row>
    <row r="407" spans="2:31" ht="16.5" customHeight="1">
      <c r="B407" s="103"/>
      <c r="C407" s="180"/>
      <c r="D407" s="527" t="str">
        <f>IFERROR(IF(AB384="NON","Vous avez débuté votre activité après le 31 Janvier 2020, vous ne pouvez donc pas bénéficier de cette aide",IF(OR(AB381=TRUE,AND(AB382=TRUE,AB386&gt;=0.5)),IF(AB388=0,"Vous n'avez pas indiqué de chiffre d'affaires de référence",IF(AB385&lt;AB388*0.2,"Dans votre cas, la perte est inférieure à 20 % du CA, l'aide est donc plafonnée à la perte, soit "&amp;ROUND(AB385,0)&amp;" € pour le mois d'Avril",IF(AB388*0.2&gt;=200000,"Dans votre cas, l'aide est plafonnée, à "&amp;Annexes!O8&amp;" € pour le mois d'Avril","Vous pouvez bénéficier, au titre de cette aide, d'un montant de "&amp;ROUND(AB388*0.2,0)&amp;" € pour le mois d'Avril"))),IF(OR(AB378="OUI",AND(AB379="OUI",OR(AB374&gt;=0.8,AB375&gt;=0.8,AB376&gt;=0.1))),IF(AB386&gt;=0.7,IF(AB385&lt;AB388*0.2,"Dans votre cas, la perte est inférieure à 20 % du CA, l'aide est donc plafonnée à la perte, soit "&amp;ROUND(AB385,0)&amp;" € pour le mois d'Avril",IF(AB388*0.2&gt;=200000,"Dans votre cas, l'aide est plafonnée, à "&amp;Annexes!O8&amp;" € pour le mois d'Avril","Vous pouvez bénéficier, au titre de cette aide, d'un montant de "&amp;ROUND(AB388*0.2,0)&amp;" € pour le mois d'Avril")),IF(AB386&gt;=0.5,IF(AB385&lt;AB388*0.15,"Dans votre cas, la perte est inférieure à 15 % du CA, l'aide est donc plafonnée à la perte, soit "&amp;ROUND(AB385,0)&amp;" € pour le mois d'Avril",IF(AB388*0.15&gt;=200000,"Dans votre cas, l'aide est plafonnée, à "&amp;Annexes!O8&amp;" € pour le mois d'Avril","Vous pouvez bénéficier, au titre de cette aide, d'un montant de "&amp;ROUND(AB388*0.15,0)&amp;" € pour le mois d'Avril")),IF(AND(AB380="OUI",OR(AB374&gt;=0.8,AB375&gt;=0.8,AB376&gt;=0.1),AB386&gt;=0.7),IF(AB385&lt;AB388*0.2,"Dans votre cas, la perte est inférieure à 20 % du CA, l'aide est donc plafonnée à la perte, soit "&amp;ROUND(AB385,0)&amp;" € pour le mois d'Avril",IF(AB388*0.2&gt;=200000,"Dans votre cas, l'aide est plafonnée, à "&amp;Annexes!O8&amp;" € pour le mois d'Avril","Vous pouvez bénéficier, au titre de cette aide, d'un montant de "&amp;ROUND(AB388*0.2,0)&amp;" € pour le mois d'Avril")),"L'entreprise ne fait ni partie des fermetures administratives au mois d'Avril, ni des activités mentionnées en annexe 1 (S1) avec 50 % de perte en Avril ou en annexe 2 (S1 bis) ou 3 ou dans un centre commercial avec 70 % de Perte en Avril"))),IF(AND(AB380="OUI",OR(AB374&gt;=0.8,AB375&gt;=0.8,AB376&gt;=0.1),AB386&gt;=0.7),IF(AB385&lt;AB388*0.2,"Dans votre cas, la perte est inférieure à 20 % du CA, l'aide est donc plafonnée à la perte, soit "&amp;ROUND(AB385,0)&amp;" € pour le mois d'Avril",IF(AB388*0.2&gt;=200000,"Dans votre cas, l'aide est plafonnée, à "&amp;Annexes!O8&amp;" € pour le mois d'Avril","Vous pouvez bénéficier, au titre de cette aide, d'un montant de "&amp;ROUND(AB388*0.2,0)&amp;" € pour le mois d'Avril")),"L'entreprise ne fait ni partie des fermetures administratives avec 20 % de perte au mois d'Avril, ni des activités mentionnées en annexe 1 (S1)"&amp;" ou en annexe 2 (S1 bis) avec 50 % de perte en Avril ou 3 ou dans un centre commercial avec 70 % de Perte en Avril")))),"Vous n'avez pas indiqué de chiffre d'affaires de référence")</f>
        <v>L'entreprise ne fait ni partie des fermetures administratives avec 20 % de perte au mois d'Avril, ni des activités mentionnées en annexe 1 (S1) ou en annexe 2 (S1 bis) avec 50 % de perte en Avril ou 3 ou dans un centre commercial avec 70 % de Perte en Avril</v>
      </c>
      <c r="E407" s="509"/>
      <c r="F407" s="509"/>
      <c r="G407" s="509"/>
      <c r="H407" s="509"/>
      <c r="I407" s="509"/>
      <c r="J407" s="509"/>
      <c r="K407" s="509"/>
      <c r="L407" s="509"/>
      <c r="M407" s="509"/>
      <c r="N407" s="509"/>
      <c r="O407" s="510"/>
      <c r="P407" s="377"/>
      <c r="Q407" s="377"/>
      <c r="T407" s="14"/>
      <c r="U407" s="1"/>
      <c r="V407" s="1"/>
      <c r="W407" s="1"/>
      <c r="X407" s="1"/>
      <c r="Y407" s="1"/>
      <c r="Z407" s="1"/>
      <c r="AA407" s="1"/>
      <c r="AB407" s="1"/>
      <c r="AC407" s="1"/>
      <c r="AD407" s="1"/>
      <c r="AE407" s="13"/>
    </row>
    <row r="408" spans="2:31" ht="16.5" customHeight="1">
      <c r="B408" s="103"/>
      <c r="C408" s="180"/>
      <c r="D408" s="511"/>
      <c r="E408" s="512"/>
      <c r="F408" s="512"/>
      <c r="G408" s="512"/>
      <c r="H408" s="512"/>
      <c r="I408" s="512"/>
      <c r="J408" s="512"/>
      <c r="K408" s="512"/>
      <c r="L408" s="512"/>
      <c r="M408" s="512"/>
      <c r="N408" s="512"/>
      <c r="O408" s="513"/>
      <c r="P408" s="377"/>
      <c r="Q408" s="377"/>
      <c r="T408" s="14"/>
      <c r="U408" s="1"/>
      <c r="V408" s="1"/>
      <c r="W408" s="1"/>
      <c r="X408" s="1"/>
      <c r="Y408" s="1"/>
      <c r="Z408" s="1"/>
      <c r="AA408" s="1"/>
      <c r="AB408" s="1"/>
      <c r="AC408" s="1"/>
      <c r="AD408" s="1"/>
      <c r="AE408" s="13"/>
    </row>
    <row r="409" spans="2:31" ht="16.5" customHeight="1">
      <c r="B409" s="103"/>
      <c r="C409" s="180"/>
      <c r="D409" s="511"/>
      <c r="E409" s="512"/>
      <c r="F409" s="512"/>
      <c r="G409" s="512"/>
      <c r="H409" s="512"/>
      <c r="I409" s="512"/>
      <c r="J409" s="512"/>
      <c r="K409" s="512"/>
      <c r="L409" s="512"/>
      <c r="M409" s="512"/>
      <c r="N409" s="512"/>
      <c r="O409" s="513"/>
      <c r="P409" s="175"/>
      <c r="Q409" s="175"/>
      <c r="T409" s="14"/>
      <c r="U409" s="1"/>
      <c r="V409" s="1"/>
      <c r="W409" s="1"/>
      <c r="X409" s="1"/>
      <c r="Y409" s="1"/>
      <c r="Z409" s="1"/>
      <c r="AA409" s="1"/>
      <c r="AB409" s="1"/>
      <c r="AC409" s="1"/>
      <c r="AD409" s="1"/>
      <c r="AE409" s="13"/>
    </row>
    <row r="410" spans="2:31" ht="16.5" customHeight="1" thickBot="1">
      <c r="B410" s="103"/>
      <c r="C410" s="180"/>
      <c r="D410" s="514"/>
      <c r="E410" s="515"/>
      <c r="F410" s="515"/>
      <c r="G410" s="515"/>
      <c r="H410" s="515"/>
      <c r="I410" s="515"/>
      <c r="J410" s="515"/>
      <c r="K410" s="515"/>
      <c r="L410" s="515"/>
      <c r="M410" s="515"/>
      <c r="N410" s="515"/>
      <c r="O410" s="516"/>
      <c r="T410" s="14"/>
      <c r="U410" s="1"/>
      <c r="V410" s="1"/>
      <c r="W410" s="1"/>
      <c r="X410" s="1"/>
      <c r="Y410" s="1"/>
      <c r="Z410" s="1"/>
      <c r="AA410" s="1"/>
      <c r="AB410" s="1"/>
      <c r="AC410" s="1"/>
      <c r="AD410" s="1"/>
      <c r="AE410" s="13"/>
    </row>
    <row r="411" spans="2:31" ht="16.5" customHeight="1">
      <c r="B411" s="5"/>
      <c r="C411" s="5"/>
      <c r="D411" s="531" t="str">
        <f>IF(AND(AB382=TRUE,AB381=FALSE,AB367&gt;1500),"L'aide est plafonné à 1 500 €, Si l'entreprise a subi une perte de moins de 50 % sur la période en comprenant le CA réalisé sur les activités de vente à distance avec retrait en magasin ou livraison sont à prendre en compte pour le calcul de la perte","")</f>
        <v/>
      </c>
      <c r="E411" s="531"/>
      <c r="F411" s="531"/>
      <c r="G411" s="531"/>
      <c r="H411" s="531"/>
      <c r="I411" s="531"/>
      <c r="J411" s="531"/>
      <c r="K411" s="531"/>
      <c r="L411" s="531"/>
      <c r="M411" s="531"/>
      <c r="N411" s="531"/>
      <c r="O411" s="531"/>
      <c r="P411" s="177"/>
      <c r="Q411" s="177"/>
      <c r="T411" s="14"/>
      <c r="U411" s="1"/>
      <c r="V411" s="1"/>
      <c r="W411" s="1"/>
      <c r="X411" s="1"/>
      <c r="Y411" s="1"/>
      <c r="Z411" s="1"/>
      <c r="AA411" s="1"/>
      <c r="AB411" s="1"/>
      <c r="AC411" s="1"/>
      <c r="AD411" s="1"/>
      <c r="AE411" s="13"/>
    </row>
    <row r="412" spans="2:31">
      <c r="B412" s="5"/>
      <c r="C412" s="5"/>
      <c r="D412" s="531"/>
      <c r="E412" s="531"/>
      <c r="F412" s="531"/>
      <c r="G412" s="531"/>
      <c r="H412" s="531"/>
      <c r="I412" s="531"/>
      <c r="J412" s="531"/>
      <c r="K412" s="531"/>
      <c r="L412" s="531"/>
      <c r="M412" s="531"/>
      <c r="N412" s="531"/>
      <c r="O412" s="531"/>
      <c r="P412" s="177"/>
      <c r="Q412" s="177"/>
      <c r="T412" s="14"/>
      <c r="U412" s="1"/>
      <c r="V412" s="1"/>
      <c r="W412" s="1"/>
      <c r="X412" s="1"/>
      <c r="Y412" s="1"/>
      <c r="Z412" s="1"/>
      <c r="AA412" s="1"/>
      <c r="AB412" s="1"/>
      <c r="AC412" s="1"/>
      <c r="AD412" s="1"/>
      <c r="AE412" s="13"/>
    </row>
    <row r="413" spans="2:31">
      <c r="D413" s="177"/>
      <c r="E413" s="177"/>
      <c r="F413" s="177"/>
      <c r="G413" s="177"/>
      <c r="H413" s="177"/>
      <c r="I413" s="177"/>
      <c r="J413" s="177"/>
      <c r="K413" s="177"/>
      <c r="L413" s="177"/>
      <c r="M413" s="177"/>
      <c r="N413" s="177"/>
      <c r="O413" s="177"/>
      <c r="P413" s="175"/>
      <c r="Q413" s="175"/>
      <c r="T413" s="14"/>
      <c r="U413" s="1"/>
      <c r="V413" s="1"/>
      <c r="W413" s="1"/>
      <c r="X413" s="1"/>
      <c r="Y413" s="1"/>
      <c r="Z413" s="1"/>
      <c r="AA413" s="1"/>
      <c r="AB413" s="1"/>
      <c r="AC413" s="1"/>
      <c r="AD413" s="1"/>
      <c r="AE413" s="13"/>
    </row>
    <row r="414" spans="2:31" ht="16.5" thickBot="1">
      <c r="B414" s="220"/>
      <c r="C414" s="488" t="s">
        <v>461</v>
      </c>
      <c r="D414" s="488"/>
      <c r="E414" s="488"/>
      <c r="F414" s="488"/>
      <c r="G414" s="488"/>
      <c r="H414" s="488"/>
      <c r="I414" s="221"/>
      <c r="J414" s="221"/>
      <c r="K414" s="221"/>
      <c r="L414" s="221"/>
      <c r="M414" s="221"/>
      <c r="N414" s="221"/>
      <c r="O414" s="221"/>
      <c r="T414" s="16"/>
      <c r="U414" s="11"/>
      <c r="V414" s="11"/>
      <c r="W414" s="11"/>
      <c r="X414" s="11"/>
      <c r="Y414" s="11"/>
      <c r="Z414" s="11"/>
      <c r="AA414" s="11"/>
      <c r="AB414" s="11"/>
      <c r="AC414" s="11"/>
      <c r="AD414" s="11"/>
      <c r="AE414" s="12"/>
    </row>
    <row r="415" spans="2:31" ht="15" customHeight="1">
      <c r="B415" s="63"/>
      <c r="C415" s="24"/>
      <c r="D415" s="24"/>
      <c r="E415" s="24"/>
      <c r="F415" s="24"/>
      <c r="G415" s="24"/>
      <c r="H415" s="63"/>
      <c r="I415" s="1"/>
      <c r="J415" s="1"/>
      <c r="K415" s="1"/>
      <c r="L415" s="1"/>
      <c r="M415" s="1"/>
      <c r="N415" s="1"/>
      <c r="O415" s="1"/>
      <c r="T415" s="14"/>
      <c r="U415" s="1"/>
      <c r="V415" s="1"/>
      <c r="W415" s="1"/>
      <c r="X415" s="1"/>
      <c r="Y415" s="1"/>
      <c r="Z415" s="1"/>
      <c r="AA415" s="1"/>
      <c r="AB415" s="1"/>
      <c r="AC415" s="1"/>
      <c r="AD415" s="1"/>
      <c r="AE415" s="13"/>
    </row>
    <row r="416" spans="2:31" ht="15" customHeight="1">
      <c r="B416" s="103"/>
      <c r="C416" s="489" t="s">
        <v>471</v>
      </c>
      <c r="D416" s="489"/>
      <c r="E416" s="489"/>
      <c r="F416" s="489"/>
      <c r="G416" s="489"/>
      <c r="H416" s="489"/>
      <c r="I416" s="489"/>
      <c r="J416" s="489"/>
      <c r="K416" s="489"/>
      <c r="L416" s="489"/>
      <c r="M416" s="489"/>
      <c r="N416" s="489"/>
      <c r="O416" s="489"/>
      <c r="P416" s="1"/>
      <c r="T416" s="25"/>
      <c r="U416" s="490" t="s">
        <v>20</v>
      </c>
      <c r="V416" s="490"/>
      <c r="W416" s="490"/>
      <c r="X416" s="1"/>
      <c r="Y416" s="390" t="s">
        <v>6</v>
      </c>
      <c r="Z416" s="390"/>
      <c r="AA416" s="390"/>
      <c r="AB416" s="390" t="s">
        <v>23</v>
      </c>
      <c r="AC416" s="390"/>
      <c r="AD416" s="390"/>
      <c r="AE416" s="26" t="s">
        <v>24</v>
      </c>
    </row>
    <row r="417" spans="2:31" ht="15.75" customHeight="1">
      <c r="B417" s="103"/>
      <c r="C417" s="387"/>
      <c r="D417" s="60" t="s">
        <v>435</v>
      </c>
      <c r="E417" s="387"/>
      <c r="F417" s="387"/>
      <c r="G417" s="387"/>
      <c r="H417" s="387"/>
      <c r="I417" s="387"/>
      <c r="J417" s="387"/>
      <c r="K417" s="387"/>
      <c r="L417" s="387"/>
      <c r="M417" s="387"/>
      <c r="N417" s="387"/>
      <c r="O417" s="387"/>
      <c r="P417" s="1"/>
      <c r="T417" s="25"/>
      <c r="U417" s="390"/>
      <c r="V417" s="390"/>
      <c r="W417" s="390"/>
      <c r="X417" s="1"/>
      <c r="Y417" s="390"/>
      <c r="Z417" s="390"/>
      <c r="AA417" s="390"/>
      <c r="AB417" s="390"/>
      <c r="AC417" s="390"/>
      <c r="AD417" s="390"/>
      <c r="AE417" s="26"/>
    </row>
    <row r="418" spans="2:31" ht="16.5" hidden="1" thickBot="1">
      <c r="B418" s="103"/>
      <c r="C418" s="387"/>
      <c r="D418" s="60"/>
      <c r="E418" s="387"/>
      <c r="F418" s="387"/>
      <c r="G418" s="387"/>
      <c r="H418" s="387"/>
      <c r="I418" s="387"/>
      <c r="J418" s="387"/>
      <c r="K418" s="387"/>
      <c r="L418" s="387"/>
      <c r="M418" s="387"/>
      <c r="N418" s="387"/>
      <c r="O418" s="387"/>
      <c r="P418" s="1"/>
      <c r="T418" s="491" t="s">
        <v>460</v>
      </c>
      <c r="U418" s="490"/>
      <c r="V418" s="490"/>
      <c r="W418" s="490"/>
      <c r="X418" s="1"/>
      <c r="Y418" s="7">
        <f>'Mon Entreprise'!I130</f>
        <v>0</v>
      </c>
      <c r="Z418" s="133"/>
      <c r="AA418" s="21"/>
      <c r="AB418" s="7">
        <f>IF('Mon Entreprise'!I130-'Mon Entreprise'!M130&lt;0,0,'Mon Entreprise'!I130-'Mon Entreprise'!M130)</f>
        <v>0</v>
      </c>
      <c r="AC418" s="13"/>
      <c r="AD418" s="1"/>
      <c r="AE418" s="27">
        <f>IFERROR(1-'Mon Entreprise'!M130/'Mon Entreprise'!I130,0)</f>
        <v>0</v>
      </c>
    </row>
    <row r="419" spans="2:31" ht="15.75" hidden="1">
      <c r="B419" s="103"/>
      <c r="C419" s="387"/>
      <c r="D419" s="492" t="str">
        <f>IFERROR(IF(AND(AB462=0,AB463=0,AB464=0),"Vous ne pouvez pas bénéficier du fonds de solidarité pour le mois de Mai 2021",IF(AND(AB464&gt;AB463,AB464&gt;AB462),"Votre entreprise peut bénéficier d'une aide de "&amp;AB464&amp;" €, au titre d'une fermeture Administrative avec une perte de 20 % de CA, ou d'une perte d'au moins 50 % ou 70 % du CA pour les activités mentionnées en annexe 1,"&amp;" ou d'une perte d'au moins 70 % du CA pour les activités mentionnées en annexe 2 ou 3 ou dans un centre commercial, ou domicilié dans certaines îles d'outre-mer",IF(AB463&gt;AB462,"Votre entreprise peut bénéficier d'une aide de "&amp;AB463&amp;" €, au titre d'une fermeture Administrative avec une perte de 20 % du CA, ou d'une perte d'au moins 50 % du CA pour les activités mentionnées en annexe 1,"&amp;" ou en annexe 2 ou 3 ou dans un centre commercial, ou domicilié dans certaines îles d'outre-mer, ayant une perte de CA d'au moins 80 % entre le 15/03/2020 et le 15/05/2020, au mois de Novembre 2020 ou 10 % de perte entre 2019 et 2020","Votre entreprise peut bénéficier d'une aide de "&amp;AB462&amp;" €, au titre d'une perte d'au-moins 50 % de votre CA en Mai 2021"))),"Vous n'avez pas indiqué de chiffre d'affaires de référence")</f>
        <v>Vous ne pouvez pas bénéficier du fonds de solidarité pour le mois de Mai 2021</v>
      </c>
      <c r="E419" s="493"/>
      <c r="F419" s="493"/>
      <c r="G419" s="493"/>
      <c r="H419" s="493"/>
      <c r="I419" s="493"/>
      <c r="J419" s="493"/>
      <c r="K419" s="493"/>
      <c r="L419" s="493"/>
      <c r="M419" s="493"/>
      <c r="N419" s="493"/>
      <c r="O419" s="494"/>
      <c r="P419" s="1"/>
      <c r="T419" s="491" t="s">
        <v>25</v>
      </c>
      <c r="U419" s="490"/>
      <c r="V419" s="490"/>
      <c r="W419" s="490"/>
      <c r="X419" s="1"/>
      <c r="Y419" s="7">
        <f>'Mon Entreprise'!I98</f>
        <v>0</v>
      </c>
      <c r="Z419" s="133"/>
      <c r="AA419" s="21"/>
      <c r="AB419" s="7">
        <f>IF('Mon Entreprise'!I98-'Mon Entreprise'!M130&lt;0,0,'Mon Entreprise'!I98-'Mon Entreprise'!M130)</f>
        <v>0</v>
      </c>
      <c r="AC419" s="36"/>
      <c r="AD419" s="1"/>
      <c r="AE419" s="27">
        <f>IFERROR(1-'Mon Entreprise'!M130/'Mon Entreprise'!I98,0)</f>
        <v>0</v>
      </c>
    </row>
    <row r="420" spans="2:31" ht="15.75" hidden="1" customHeight="1">
      <c r="B420" s="103"/>
      <c r="C420" s="387"/>
      <c r="D420" s="495"/>
      <c r="E420" s="496"/>
      <c r="F420" s="496"/>
      <c r="G420" s="496"/>
      <c r="H420" s="496"/>
      <c r="I420" s="496"/>
      <c r="J420" s="496"/>
      <c r="K420" s="496"/>
      <c r="L420" s="496"/>
      <c r="M420" s="496"/>
      <c r="N420" s="496"/>
      <c r="O420" s="497"/>
      <c r="P420" s="1"/>
      <c r="T420" s="501" t="s">
        <v>22</v>
      </c>
      <c r="U420" s="502"/>
      <c r="V420" s="502"/>
      <c r="W420" s="502"/>
      <c r="X420" s="139"/>
      <c r="Y420" s="140" t="str">
        <f>IF('Mon Entreprise'!I148="","NC",'Mon Entreprise'!I148)</f>
        <v>NC</v>
      </c>
      <c r="Z420" s="191"/>
      <c r="AA420" s="192"/>
      <c r="AB420" s="143" t="str">
        <f>IFERROR(IF('Mon Entreprise'!I148-'Mon Entreprise'!M130&lt;0,0,'Mon Entreprise'!I148-'Mon Entreprise'!M130),"NC")</f>
        <v>NC</v>
      </c>
      <c r="AC420" s="193"/>
      <c r="AD420" s="139"/>
      <c r="AE420" s="146" t="str">
        <f>IFERROR(1-'Mon Entreprise'!M130/'Mon Entreprise'!I148,"NC")</f>
        <v>NC</v>
      </c>
    </row>
    <row r="421" spans="2:31" ht="15.75" hidden="1" customHeight="1">
      <c r="B421" s="103"/>
      <c r="C421" s="387"/>
      <c r="D421" s="495"/>
      <c r="E421" s="496"/>
      <c r="F421" s="496"/>
      <c r="G421" s="496"/>
      <c r="H421" s="496"/>
      <c r="I421" s="496"/>
      <c r="J421" s="496"/>
      <c r="K421" s="496"/>
      <c r="L421" s="496"/>
      <c r="M421" s="496"/>
      <c r="N421" s="496"/>
      <c r="O421" s="497"/>
      <c r="P421" s="1"/>
      <c r="T421" s="388"/>
      <c r="U421" s="385"/>
      <c r="V421" s="385"/>
      <c r="W421" s="385"/>
      <c r="X421" s="139"/>
      <c r="Y421" s="140"/>
      <c r="Z421" s="141"/>
      <c r="AA421" s="192"/>
      <c r="AB421" s="143"/>
      <c r="AC421" s="385"/>
      <c r="AD421" s="139"/>
      <c r="AE421" s="146"/>
    </row>
    <row r="422" spans="2:31" ht="15.75" hidden="1" customHeight="1">
      <c r="B422" s="103"/>
      <c r="C422" s="387"/>
      <c r="D422" s="495"/>
      <c r="E422" s="496"/>
      <c r="F422" s="496"/>
      <c r="G422" s="496"/>
      <c r="H422" s="496"/>
      <c r="I422" s="496"/>
      <c r="J422" s="496"/>
      <c r="K422" s="496"/>
      <c r="L422" s="496"/>
      <c r="M422" s="496"/>
      <c r="N422" s="496"/>
      <c r="O422" s="497"/>
      <c r="P422" s="1"/>
      <c r="T422" s="14"/>
      <c r="U422" s="1"/>
      <c r="V422" s="1"/>
      <c r="W422" s="1"/>
      <c r="X422" s="1"/>
      <c r="Y422" s="1"/>
      <c r="Z422" s="1"/>
      <c r="AA422" s="1"/>
      <c r="AB422" s="1"/>
      <c r="AC422" s="1"/>
      <c r="AD422" s="1"/>
      <c r="AE422" s="13"/>
    </row>
    <row r="423" spans="2:31" ht="15.75" hidden="1" customHeight="1">
      <c r="B423" s="103"/>
      <c r="C423" s="387"/>
      <c r="D423" s="495"/>
      <c r="E423" s="496"/>
      <c r="F423" s="496"/>
      <c r="G423" s="496"/>
      <c r="H423" s="496"/>
      <c r="I423" s="496"/>
      <c r="J423" s="496"/>
      <c r="K423" s="496"/>
      <c r="L423" s="496"/>
      <c r="M423" s="496"/>
      <c r="N423" s="496"/>
      <c r="O423" s="497"/>
      <c r="P423" s="1"/>
      <c r="T423" s="14"/>
      <c r="AC423" s="1"/>
      <c r="AD423" s="1"/>
      <c r="AE423" s="13"/>
    </row>
    <row r="424" spans="2:31" ht="15.75" hidden="1" customHeight="1" thickBot="1">
      <c r="B424" s="103"/>
      <c r="C424" s="387"/>
      <c r="D424" s="498"/>
      <c r="E424" s="499"/>
      <c r="F424" s="499"/>
      <c r="G424" s="499"/>
      <c r="H424" s="499"/>
      <c r="I424" s="499"/>
      <c r="J424" s="499"/>
      <c r="K424" s="499"/>
      <c r="L424" s="499"/>
      <c r="M424" s="499"/>
      <c r="N424" s="499"/>
      <c r="O424" s="500"/>
      <c r="P424" s="1"/>
      <c r="T424" s="14"/>
      <c r="AC424" s="1"/>
      <c r="AD424" s="1"/>
      <c r="AE424" s="13"/>
    </row>
    <row r="425" spans="2:31" ht="16.5" hidden="1" customHeight="1">
      <c r="B425" s="103"/>
      <c r="C425" s="387"/>
      <c r="D425" s="330" t="s">
        <v>462</v>
      </c>
      <c r="E425" s="387"/>
      <c r="F425" s="387"/>
      <c r="G425" s="387"/>
      <c r="H425" s="387"/>
      <c r="I425" s="387"/>
      <c r="J425" s="387"/>
      <c r="K425" s="387"/>
      <c r="L425" s="387"/>
      <c r="M425" s="387"/>
      <c r="N425" s="387"/>
      <c r="O425" s="387"/>
      <c r="P425" s="1"/>
      <c r="T425" s="14"/>
      <c r="AC425" s="1"/>
      <c r="AD425" s="1"/>
      <c r="AE425" s="13"/>
    </row>
    <row r="426" spans="2:31" ht="15.75">
      <c r="B426" s="103"/>
      <c r="C426" s="78"/>
      <c r="D426" s="78"/>
      <c r="E426" s="78"/>
      <c r="F426" s="78"/>
      <c r="G426" s="78"/>
      <c r="H426" s="78"/>
      <c r="I426" s="78"/>
      <c r="J426" s="78"/>
      <c r="K426" s="78"/>
      <c r="L426" s="78"/>
      <c r="M426" s="78"/>
      <c r="N426" s="78"/>
      <c r="O426" s="78"/>
      <c r="P426" s="1"/>
      <c r="T426" s="14"/>
      <c r="U426" s="1"/>
      <c r="V426" s="1"/>
      <c r="W426" s="1"/>
      <c r="X426" s="1"/>
      <c r="Y426" s="1"/>
      <c r="Z426" s="1"/>
      <c r="AA426" s="1"/>
      <c r="AB426" s="1"/>
      <c r="AC426" s="1"/>
      <c r="AD426" s="1"/>
      <c r="AE426" s="13"/>
    </row>
    <row r="427" spans="2:31" ht="15.75">
      <c r="B427" s="103"/>
      <c r="C427" s="387"/>
      <c r="D427" s="60"/>
      <c r="E427" s="387"/>
      <c r="F427" s="387"/>
      <c r="G427" s="387"/>
      <c r="H427" s="387"/>
      <c r="I427" s="387"/>
      <c r="J427" s="387"/>
      <c r="K427" s="387"/>
      <c r="L427" s="387"/>
      <c r="M427" s="387"/>
      <c r="N427" s="387"/>
      <c r="O427" s="387"/>
      <c r="P427" s="1"/>
      <c r="T427" s="14"/>
      <c r="U427" s="1"/>
      <c r="V427" s="1"/>
      <c r="W427" s="1"/>
      <c r="X427" s="1"/>
      <c r="Y427" s="1"/>
      <c r="Z427" s="1"/>
      <c r="AA427" s="1"/>
      <c r="AB427" s="1"/>
      <c r="AC427" s="1"/>
      <c r="AD427" s="1"/>
      <c r="AE427" s="13"/>
    </row>
    <row r="428" spans="2:31" ht="15.75">
      <c r="B428" s="103"/>
      <c r="C428" s="387" t="s">
        <v>463</v>
      </c>
      <c r="D428" s="60"/>
      <c r="E428" s="387"/>
      <c r="F428" s="387"/>
      <c r="G428" s="387"/>
      <c r="H428" s="387"/>
      <c r="I428" s="387"/>
      <c r="J428" s="387"/>
      <c r="K428" s="387"/>
      <c r="L428" s="387"/>
      <c r="M428" s="387"/>
      <c r="N428" s="387"/>
      <c r="O428" s="387"/>
      <c r="P428" s="1"/>
      <c r="T428" s="14"/>
      <c r="U428" s="1"/>
      <c r="V428" s="1"/>
      <c r="W428" s="1"/>
      <c r="X428" s="1"/>
      <c r="Y428" s="1"/>
      <c r="Z428" s="1"/>
      <c r="AA428" s="1"/>
      <c r="AB428" s="1"/>
      <c r="AC428" s="1"/>
      <c r="AD428" s="1"/>
      <c r="AE428" s="13"/>
    </row>
    <row r="429" spans="2:31" ht="15.75">
      <c r="B429" s="103"/>
      <c r="C429" s="380" t="s">
        <v>466</v>
      </c>
      <c r="D429" s="60"/>
      <c r="E429" s="387"/>
      <c r="F429" s="387"/>
      <c r="G429" s="387"/>
      <c r="H429" s="387"/>
      <c r="I429" s="387"/>
      <c r="J429" s="387"/>
      <c r="K429" s="387"/>
      <c r="L429" s="387"/>
      <c r="M429" s="387"/>
      <c r="N429" s="387"/>
      <c r="O429" s="387"/>
      <c r="P429" s="1"/>
      <c r="T429" s="14"/>
      <c r="U429" s="506" t="s">
        <v>72</v>
      </c>
      <c r="V429" s="506"/>
      <c r="W429" s="506"/>
      <c r="X429" s="506"/>
      <c r="Y429" s="506"/>
      <c r="Z429" s="1"/>
      <c r="AA429" s="14"/>
      <c r="AB429" s="385" t="str">
        <f>IF('Mon Entreprise'!K8&lt;=Annexes!R15,"Oui","Non")</f>
        <v>Oui</v>
      </c>
      <c r="AC429" s="1"/>
      <c r="AD429" s="1"/>
      <c r="AE429" s="13"/>
    </row>
    <row r="430" spans="2:31" ht="15.75">
      <c r="B430" s="168"/>
      <c r="C430" s="387"/>
      <c r="D430" s="60" t="str">
        <f>IFERROR(IF('Mon Entreprise'!K8&gt;=Annexes!O20,IF(AB418&gt;=AB420,"Le CA de référence est celui de Mai 2019, soit une perte de "&amp;ROUND(AB418,0)&amp;" €"&amp;" ==&gt; "&amp;ROUND(AE418*100,0)&amp;" %","Le CA de référence est celui de la création, soit une perte de "&amp;ROUND(AB420,0)&amp;" €"&amp;" ==&gt; "&amp;ROUND(AE420*100,0)&amp;" %"),IF(AB418&gt;=AB419,"Le CA de référence est celui de Mai 2019, soit une perte de "&amp;ROUND(AB418,0)&amp;" €"&amp;" ==&gt; "&amp;ROUND(AE418*100,0)&amp;" %","Le CA de référence est celui de l'exercice 2019, soit une perte de "&amp;ROUND(AB419,0)&amp;" €"&amp;" ==&gt; "&amp;ROUND(AE419*100,0)&amp;" %")),"")</f>
        <v>Le CA de référence est celui de Mai 2019, soit une perte de 0 € ==&gt; 0 %</v>
      </c>
      <c r="E430" s="387"/>
      <c r="F430" s="387"/>
      <c r="G430" s="387"/>
      <c r="H430" s="387"/>
      <c r="I430" s="387"/>
      <c r="J430" s="387"/>
      <c r="K430" s="387"/>
      <c r="L430" s="387"/>
      <c r="M430" s="387"/>
      <c r="N430" s="387"/>
      <c r="O430" s="387"/>
      <c r="P430" s="1"/>
      <c r="T430" s="14"/>
      <c r="U430" s="386"/>
      <c r="V430" s="506" t="s">
        <v>393</v>
      </c>
      <c r="W430" s="506"/>
      <c r="X430" s="506"/>
      <c r="Y430" s="506"/>
      <c r="Z430" s="1"/>
      <c r="AA430" s="14"/>
      <c r="AB430" s="385">
        <f>IF('Mon Entreprise'!K8&gt;=Annexes!O20,IF(Y418&gt;=Y420,Y418,Y420),IF(Y418&gt;=Y419,Y418,Y419))</f>
        <v>0</v>
      </c>
      <c r="AC430" s="1"/>
      <c r="AD430" s="1"/>
      <c r="AE430" s="13"/>
    </row>
    <row r="431" spans="2:31" ht="15.75">
      <c r="B431" s="168"/>
      <c r="C431" s="387"/>
      <c r="D431" s="507" t="str">
        <f>IFERROR(IF('Mon Entreprise'!K8&gt;=Annexes!O20,"",IF(AB418&lt;AB419,"A noter qu'il convient de choisir l'option retenue par l'entreprise lors de sa demande au titre du mois Février 2021, ou a défaut celui du mois de Mars, d'Avril 2021, si le CA de référence était celui de février 2019, il convient de prendre"&amp;" celui de Mai 2019 (...), soit "&amp;ROUND(AB418,0)&amp;" €"&amp;" ==&gt; "&amp;ROUND(AE418*100,0)&amp;" %","A noter qu'il convient de choisir l'option retenue par l'entreprise lors de sa demande au titre du mois Février 2021, ou "&amp;"a défaut celui du mois de Mars, d'Avril 2021, si le CA de référence était celui de l'exercice 2019, il convient de prendre celui de l'exercie 2019, soit une perte de "&amp;ROUND(AB419,0)&amp;" €"&amp;" ==&gt; "&amp;ROUND(AE419*100,0)&amp;" %")),"")</f>
        <v>A noter qu'il convient de choisir l'option retenue par l'entreprise lors de sa demande au titre du mois Février 2021, ou a défaut celui du mois de Mars, d'Avril 2021, si le CA de référence était celui de l'exercice 2019, il convient de prendre celui de l'exercie 2019, soit une perte de 0 € ==&gt; 0 %</v>
      </c>
      <c r="E431" s="507"/>
      <c r="F431" s="507"/>
      <c r="G431" s="507"/>
      <c r="H431" s="507"/>
      <c r="I431" s="507"/>
      <c r="J431" s="507"/>
      <c r="K431" s="507"/>
      <c r="L431" s="507"/>
      <c r="M431" s="507"/>
      <c r="N431" s="507"/>
      <c r="O431" s="507"/>
      <c r="P431" s="1"/>
      <c r="T431" s="14"/>
      <c r="U431" s="506" t="s">
        <v>84</v>
      </c>
      <c r="V431" s="506"/>
      <c r="W431" s="506"/>
      <c r="X431" s="506"/>
      <c r="Y431" s="506"/>
      <c r="Z431" s="1"/>
      <c r="AA431" s="14"/>
      <c r="AB431" s="381">
        <f>IF('Mon Entreprise'!K8&gt;=Annexes!O20,IF(AB418&gt;=AB420,AB418,AB420),IF(AB418&gt;=AB419,AB418,AB419))</f>
        <v>0</v>
      </c>
      <c r="AC431" s="1"/>
      <c r="AD431" s="1"/>
      <c r="AE431" s="13"/>
    </row>
    <row r="432" spans="2:31" ht="15.75">
      <c r="B432" s="168"/>
      <c r="C432" s="387"/>
      <c r="D432" s="507"/>
      <c r="E432" s="507"/>
      <c r="F432" s="507"/>
      <c r="G432" s="507"/>
      <c r="H432" s="507"/>
      <c r="I432" s="507"/>
      <c r="J432" s="507"/>
      <c r="K432" s="507"/>
      <c r="L432" s="507"/>
      <c r="M432" s="507"/>
      <c r="N432" s="507"/>
      <c r="O432" s="507"/>
      <c r="P432" s="1"/>
      <c r="T432" s="14"/>
      <c r="U432" s="506" t="s">
        <v>85</v>
      </c>
      <c r="V432" s="506"/>
      <c r="W432" s="506"/>
      <c r="X432" s="506"/>
      <c r="Y432" s="506"/>
      <c r="Z432" s="1"/>
      <c r="AA432" s="14"/>
      <c r="AB432" s="19">
        <f>IF('Mon Entreprise'!K8&gt;=Annexes!O20,IF(AB418&gt;=AB420,AE418,AE420),IF(AB418&gt;=AB419,AE418,AE419))</f>
        <v>0</v>
      </c>
      <c r="AC432" s="1"/>
      <c r="AD432" s="1"/>
      <c r="AE432" s="13"/>
    </row>
    <row r="433" spans="1:31" ht="16.5" thickBot="1">
      <c r="B433" s="103"/>
      <c r="C433" s="387"/>
      <c r="D433" s="60"/>
      <c r="E433" s="387"/>
      <c r="F433" s="387"/>
      <c r="G433" s="387"/>
      <c r="H433" s="387"/>
      <c r="I433" s="387"/>
      <c r="J433" s="387"/>
      <c r="K433" s="387"/>
      <c r="L433" s="387"/>
      <c r="M433" s="387"/>
      <c r="N433" s="387"/>
      <c r="O433" s="387"/>
      <c r="P433" s="1"/>
      <c r="T433" s="14"/>
      <c r="U433" s="1"/>
      <c r="V433" s="1"/>
      <c r="W433" s="1"/>
      <c r="X433" s="1"/>
      <c r="Y433" s="1"/>
      <c r="Z433" s="1"/>
      <c r="AA433" s="1"/>
      <c r="AB433" s="1"/>
      <c r="AC433" s="1"/>
      <c r="AD433" s="1"/>
      <c r="AE433" s="13"/>
    </row>
    <row r="434" spans="1:31" ht="15.75">
      <c r="B434" s="168"/>
      <c r="C434" s="387"/>
      <c r="D434" s="508" t="str">
        <f>IFERROR(IF(AB429="Non","Vous avez débuté votre activité après le 31 Janvier 2020, vous ne pouvez donc pas bénéficier de cette aide",IF(OR(AB445=TRUE,AND(AB432&lt;0.5,AB446=TRUE),(AB432&gt;=0.5)),IF(AB431&gt;Annexes!O5,"Dans votre cas, l'aide est Plafonnée, à "&amp;Annexes!O5&amp;" € pour le mois de Mai","Vous pouvez bénéficier, au titre de cette aide, d'un montant de "&amp;ROUND(AB431,0)&amp;" € pour le mois de Mai"),"L'entreprise n'a pas une perte d'au moins 50 % en Mai 2021 ou n'a pas été en fermeture Administrative")),"Vous n'avez pas indiqué de chiffre d'affaires de référence")</f>
        <v>L'entreprise n'a pas une perte d'au moins 50 % en Mai 2021 ou n'a pas été en fermeture Administrative</v>
      </c>
      <c r="E434" s="509"/>
      <c r="F434" s="509"/>
      <c r="G434" s="509"/>
      <c r="H434" s="509"/>
      <c r="I434" s="509"/>
      <c r="J434" s="509"/>
      <c r="K434" s="509"/>
      <c r="L434" s="509"/>
      <c r="M434" s="509"/>
      <c r="N434" s="509"/>
      <c r="O434" s="510"/>
      <c r="P434" s="1"/>
      <c r="T434" s="14"/>
      <c r="U434" s="1"/>
      <c r="V434" s="1"/>
      <c r="W434" s="1"/>
      <c r="X434" s="1"/>
      <c r="Y434" s="1"/>
      <c r="Z434" s="1"/>
      <c r="AA434" s="1"/>
      <c r="AB434" s="1"/>
      <c r="AC434" s="1"/>
      <c r="AD434" s="1"/>
      <c r="AE434" s="13"/>
    </row>
    <row r="435" spans="1:31" ht="15.75" customHeight="1">
      <c r="B435" s="168"/>
      <c r="C435" s="387"/>
      <c r="D435" s="511"/>
      <c r="E435" s="512"/>
      <c r="F435" s="512"/>
      <c r="G435" s="512"/>
      <c r="H435" s="512"/>
      <c r="I435" s="512"/>
      <c r="J435" s="512"/>
      <c r="K435" s="512"/>
      <c r="L435" s="512"/>
      <c r="M435" s="512"/>
      <c r="N435" s="512"/>
      <c r="O435" s="513"/>
      <c r="P435" s="1"/>
      <c r="T435" s="14"/>
      <c r="U435" s="1"/>
      <c r="V435" s="1"/>
      <c r="W435" s="1"/>
      <c r="X435" s="1"/>
      <c r="Y435" s="1"/>
      <c r="Z435" s="1"/>
      <c r="AA435" s="1"/>
      <c r="AB435" s="1"/>
      <c r="AC435" s="1"/>
      <c r="AD435" s="1"/>
      <c r="AE435" s="13"/>
    </row>
    <row r="436" spans="1:31" ht="15.75" customHeight="1">
      <c r="B436" s="103"/>
      <c r="C436" s="387"/>
      <c r="D436" s="511"/>
      <c r="E436" s="512"/>
      <c r="F436" s="512"/>
      <c r="G436" s="512"/>
      <c r="H436" s="512"/>
      <c r="I436" s="512"/>
      <c r="J436" s="512"/>
      <c r="K436" s="512"/>
      <c r="L436" s="512"/>
      <c r="M436" s="512"/>
      <c r="N436" s="512"/>
      <c r="O436" s="513"/>
      <c r="P436" s="1"/>
      <c r="T436" s="14"/>
      <c r="U436" s="1"/>
      <c r="V436" s="1"/>
      <c r="W436" s="1"/>
      <c r="X436" s="1"/>
      <c r="Y436" s="1"/>
      <c r="Z436" s="1"/>
      <c r="AA436" s="1"/>
      <c r="AB436" s="1"/>
      <c r="AC436" s="1"/>
      <c r="AD436" s="1"/>
      <c r="AE436" s="13"/>
    </row>
    <row r="437" spans="1:31" ht="15.75" customHeight="1" thickBot="1">
      <c r="B437" s="103"/>
      <c r="C437" s="387"/>
      <c r="D437" s="514"/>
      <c r="E437" s="515"/>
      <c r="F437" s="515"/>
      <c r="G437" s="515"/>
      <c r="H437" s="515"/>
      <c r="I437" s="515"/>
      <c r="J437" s="515"/>
      <c r="K437" s="515"/>
      <c r="L437" s="515"/>
      <c r="M437" s="515"/>
      <c r="N437" s="515"/>
      <c r="O437" s="516"/>
      <c r="P437" s="1"/>
      <c r="T437" s="14"/>
      <c r="U437" s="1"/>
      <c r="V437" s="1"/>
      <c r="W437" s="1"/>
      <c r="X437" s="1"/>
      <c r="Y437" s="1"/>
      <c r="Z437" s="1"/>
      <c r="AA437" s="1"/>
      <c r="AB437" s="1"/>
      <c r="AC437" s="1"/>
      <c r="AD437" s="1"/>
      <c r="AE437" s="13"/>
    </row>
    <row r="438" spans="1:31" ht="16.5" customHeight="1">
      <c r="B438" s="103"/>
      <c r="C438" s="169"/>
      <c r="D438" s="517"/>
      <c r="E438" s="517"/>
      <c r="F438" s="517"/>
      <c r="G438" s="517"/>
      <c r="H438" s="517"/>
      <c r="I438" s="517"/>
      <c r="J438" s="517"/>
      <c r="K438" s="517"/>
      <c r="L438" s="517"/>
      <c r="M438" s="517"/>
      <c r="N438" s="517"/>
      <c r="O438" s="517"/>
      <c r="P438" s="1"/>
      <c r="T438" s="518" t="s">
        <v>4</v>
      </c>
      <c r="U438" s="519"/>
      <c r="V438" s="519"/>
      <c r="W438" s="519"/>
      <c r="X438" s="519"/>
      <c r="Y438" s="519"/>
      <c r="Z438" s="139"/>
      <c r="AA438" s="145"/>
      <c r="AB438" s="194">
        <f>IFERROR(IF('Mon Entreprise'!K8&gt;=Annexes!Q18,0,1-'Mon Entreprise'!M118/2/AB430),0)</f>
        <v>0</v>
      </c>
      <c r="AC438" s="1"/>
      <c r="AD438" s="1"/>
      <c r="AE438" s="13"/>
    </row>
    <row r="439" spans="1:31" ht="16.5" customHeight="1">
      <c r="B439" s="103"/>
      <c r="C439" s="387"/>
      <c r="D439" s="306"/>
      <c r="E439" s="306"/>
      <c r="F439" s="306"/>
      <c r="G439" s="306"/>
      <c r="H439" s="306"/>
      <c r="I439" s="306"/>
      <c r="J439" s="306"/>
      <c r="K439" s="306"/>
      <c r="L439" s="306"/>
      <c r="M439" s="306"/>
      <c r="N439" s="306"/>
      <c r="O439" s="306"/>
      <c r="P439" s="1"/>
      <c r="T439" s="110"/>
      <c r="U439" s="520" t="s">
        <v>102</v>
      </c>
      <c r="V439" s="520"/>
      <c r="W439" s="520"/>
      <c r="X439" s="520"/>
      <c r="Y439" s="520"/>
      <c r="Z439" s="139"/>
      <c r="AA439" s="145"/>
      <c r="AB439" s="194">
        <f>IFERROR(IF('Mon Entreprise'!K8&gt;Annexes!Q29,0,IF('Mon Entreprise'!K8&gt;Annexes!Q26,1,1-'Mon Entreprise'!M114/AB430)),0)</f>
        <v>0</v>
      </c>
      <c r="AC439" s="1"/>
      <c r="AD439" s="1"/>
      <c r="AE439" s="13"/>
    </row>
    <row r="440" spans="1:31" ht="16.5" customHeight="1">
      <c r="B440" s="103"/>
      <c r="C440" s="505" t="s">
        <v>465</v>
      </c>
      <c r="D440" s="505"/>
      <c r="E440" s="505"/>
      <c r="F440" s="505"/>
      <c r="G440" s="505"/>
      <c r="H440" s="505"/>
      <c r="I440" s="505"/>
      <c r="J440" s="505"/>
      <c r="K440" s="505"/>
      <c r="L440" s="505"/>
      <c r="M440" s="505"/>
      <c r="N440" s="505"/>
      <c r="O440" s="505"/>
      <c r="P440" s="1"/>
      <c r="T440" s="110"/>
      <c r="U440" s="520" t="s">
        <v>109</v>
      </c>
      <c r="V440" s="520"/>
      <c r="W440" s="520"/>
      <c r="X440" s="520"/>
      <c r="Y440" s="520"/>
      <c r="Z440" s="139"/>
      <c r="AA440" s="145"/>
      <c r="AB440" s="194">
        <f>IFERROR(IF(Annexes!O27&gt;'Mon Entreprise'!K8,1-'Mon Entreprise'!M98/'Mon Entreprise'!I98,0),0)</f>
        <v>0</v>
      </c>
      <c r="AC440" s="1"/>
      <c r="AD440" s="1"/>
      <c r="AE440" s="13"/>
    </row>
    <row r="441" spans="1:31" ht="16.5" customHeight="1">
      <c r="B441" s="103"/>
      <c r="C441" s="505"/>
      <c r="D441" s="505"/>
      <c r="E441" s="505"/>
      <c r="F441" s="505"/>
      <c r="G441" s="505"/>
      <c r="H441" s="505"/>
      <c r="I441" s="505"/>
      <c r="J441" s="505"/>
      <c r="K441" s="505"/>
      <c r="L441" s="505"/>
      <c r="M441" s="505"/>
      <c r="N441" s="505"/>
      <c r="O441" s="505"/>
      <c r="P441" s="1"/>
      <c r="T441" s="110"/>
      <c r="U441" s="382"/>
      <c r="V441" s="382"/>
      <c r="W441" s="382"/>
      <c r="X441" s="382"/>
      <c r="Y441" s="382"/>
      <c r="Z441" s="139"/>
      <c r="AA441" s="145"/>
      <c r="AB441" s="194"/>
      <c r="AC441" s="1"/>
      <c r="AD441" s="1"/>
      <c r="AE441" s="13"/>
    </row>
    <row r="442" spans="1:31" ht="16.5" customHeight="1">
      <c r="B442" s="103"/>
      <c r="C442" s="505"/>
      <c r="D442" s="505"/>
      <c r="E442" s="505"/>
      <c r="F442" s="505"/>
      <c r="G442" s="505"/>
      <c r="H442" s="505"/>
      <c r="I442" s="505"/>
      <c r="J442" s="505"/>
      <c r="K442" s="505"/>
      <c r="L442" s="505"/>
      <c r="M442" s="505"/>
      <c r="N442" s="505"/>
      <c r="O442" s="505"/>
      <c r="P442" s="1"/>
      <c r="T442" s="14"/>
      <c r="U442" s="521" t="s">
        <v>8</v>
      </c>
      <c r="V442" s="521"/>
      <c r="W442" s="521"/>
      <c r="X442" s="521"/>
      <c r="Y442" s="521"/>
      <c r="Z442" s="1"/>
      <c r="AA442" s="14"/>
      <c r="AB442" s="381" t="str">
        <f>IF((AND(Annexes!F5&gt;1,Annexes!F5&lt;=Annexes!H6)),"OUI","NON")</f>
        <v>NON</v>
      </c>
      <c r="AC442" s="1"/>
      <c r="AD442" s="1"/>
      <c r="AE442" s="13"/>
    </row>
    <row r="443" spans="1:31" ht="16.5" customHeight="1">
      <c r="B443" s="103"/>
      <c r="C443" s="505"/>
      <c r="D443" s="505"/>
      <c r="E443" s="505"/>
      <c r="F443" s="505"/>
      <c r="G443" s="505"/>
      <c r="H443" s="505"/>
      <c r="I443" s="505"/>
      <c r="J443" s="505"/>
      <c r="K443" s="505"/>
      <c r="L443" s="505"/>
      <c r="M443" s="505"/>
      <c r="N443" s="505"/>
      <c r="O443" s="505"/>
      <c r="P443" s="1"/>
      <c r="T443" s="14"/>
      <c r="U443" s="383"/>
      <c r="V443" s="383"/>
      <c r="W443" s="383"/>
      <c r="X443" s="383"/>
      <c r="Y443" s="383" t="s">
        <v>9</v>
      </c>
      <c r="Z443" s="1"/>
      <c r="AA443" s="14"/>
      <c r="AB443" s="381" t="str">
        <f>IF(AND(Annexes!F7&gt;1,Annexes!F7&lt;=Annexes!H8),"OUI","NON")</f>
        <v>NON</v>
      </c>
      <c r="AC443" s="1"/>
      <c r="AD443" s="1"/>
      <c r="AE443" s="13"/>
    </row>
    <row r="444" spans="1:31" ht="16.5" customHeight="1">
      <c r="B444" s="103"/>
      <c r="C444" s="387"/>
      <c r="D444" s="306"/>
      <c r="E444" s="417" t="str">
        <f>IF(AB448="NON","",IF(OR(AB442="OUI",AND(OR(AB444="OUI",AB443="OUI"),OR(AB438&gt;=Annexes!P5,AB439&gt;=Annexes!P5,'Mes Aides'!AB145&gt;=0.1)),AB445=TRUE,AB446=TRUE),"",IF(AND(OR(AB444="OUI",AB443="OUI"),OR(AB438&lt;Annexes!P5,AB439&lt;Annexes!P5,'Mes Aides'!AB198&lt;0.1)),"L'entreprise fait partie des entreprises mentionnées en annexe 2 ou 3 du décret mais n'a pas eu une perte de CA d'au-Moins 80 %, entre le 15/03/2020 et le 15/05/2020 ou Novembre 2020 ou 10 % entre 2019 et 2020","L'entreprise ne fait pas partie des entreprises ayant une fermeture administrative avec 20 % de perte et ne fait pas partie des activités mentionnées aux annexes 1, 2 et 3 ou dans un centre commercial du décret ayant une perte significative.")))</f>
        <v>L'entreprise ne fait pas partie des entreprises ayant une fermeture administrative avec 20 % de perte et ne fait pas partie des activités mentionnées aux annexes 1, 2 et 3 ou dans un centre commercial du décret ayant une perte significative.</v>
      </c>
      <c r="F444" s="417"/>
      <c r="G444" s="417"/>
      <c r="H444" s="417"/>
      <c r="I444" s="417"/>
      <c r="J444" s="417"/>
      <c r="K444" s="417"/>
      <c r="L444" s="417"/>
      <c r="M444" s="417"/>
      <c r="N444" s="417"/>
      <c r="O444" s="417"/>
      <c r="P444" s="1"/>
      <c r="T444" s="491" t="s">
        <v>455</v>
      </c>
      <c r="U444" s="490"/>
      <c r="V444" s="490"/>
      <c r="W444" s="490"/>
      <c r="X444" s="490"/>
      <c r="Y444" s="490"/>
      <c r="Z444" s="1"/>
      <c r="AA444" s="14"/>
      <c r="AB444" s="381" t="str">
        <f>IF(OR(Annexes!M17=TRUE,Annexes!M23=TRUE,Annexes!M24=TRUE),"OUI","NON")</f>
        <v>NON</v>
      </c>
      <c r="AC444" s="1"/>
      <c r="AD444" s="1"/>
      <c r="AE444" s="13"/>
    </row>
    <row r="445" spans="1:31" ht="16.5" customHeight="1">
      <c r="B445" s="103"/>
      <c r="C445" s="387"/>
      <c r="D445" s="306"/>
      <c r="E445" s="417"/>
      <c r="F445" s="417"/>
      <c r="G445" s="417"/>
      <c r="H445" s="417"/>
      <c r="I445" s="417"/>
      <c r="J445" s="417"/>
      <c r="K445" s="417"/>
      <c r="L445" s="417"/>
      <c r="M445" s="417"/>
      <c r="N445" s="417"/>
      <c r="O445" s="417"/>
      <c r="P445" s="1"/>
      <c r="T445" s="14"/>
      <c r="U445" s="490" t="s">
        <v>313</v>
      </c>
      <c r="V445" s="490"/>
      <c r="W445" s="490"/>
      <c r="X445" s="490"/>
      <c r="Y445" s="490"/>
      <c r="Z445" s="1"/>
      <c r="AA445" s="14"/>
      <c r="AB445" s="381" t="b">
        <f>IF(Annexes!M32=TRUE,TRUE,FALSE)</f>
        <v>0</v>
      </c>
      <c r="AC445" s="1"/>
      <c r="AD445" s="1"/>
      <c r="AE445" s="13"/>
    </row>
    <row r="446" spans="1:31" ht="16.5" customHeight="1">
      <c r="B446" s="168"/>
      <c r="C446" s="387"/>
      <c r="D446" s="306"/>
      <c r="E446" s="417"/>
      <c r="F446" s="417"/>
      <c r="G446" s="417"/>
      <c r="H446" s="417"/>
      <c r="I446" s="417"/>
      <c r="J446" s="417"/>
      <c r="K446" s="417"/>
      <c r="L446" s="417"/>
      <c r="M446" s="417"/>
      <c r="N446" s="417"/>
      <c r="O446" s="417"/>
      <c r="P446" s="1"/>
      <c r="T446" s="14"/>
      <c r="U446" s="490" t="s">
        <v>394</v>
      </c>
      <c r="V446" s="490"/>
      <c r="W446" s="490"/>
      <c r="X446" s="490"/>
      <c r="Y446" s="490"/>
      <c r="Z446" s="1"/>
      <c r="AA446" s="14"/>
      <c r="AB446" s="381" t="b">
        <f>IF(Annexes!M33=TRUE,TRUE,FALSE)</f>
        <v>0</v>
      </c>
      <c r="AC446" s="1"/>
      <c r="AD446" s="1"/>
      <c r="AE446" s="13"/>
    </row>
    <row r="447" spans="1:31" ht="16.5" customHeight="1">
      <c r="A447" s="99"/>
      <c r="B447" s="103"/>
      <c r="C447" s="387"/>
      <c r="D447" s="523" t="str">
        <f>IFERROR(IF('Mon Entreprise'!K8&gt;=Annexes!O20,IF(AB418&gt;=AB420,"- Le CA de référence est celui de Mai 2019, soit une perte de "&amp;ROUND(AB418,0)&amp;" €"&amp;" ==&gt; "&amp;ROUND(AE418*100,0)&amp;" %","- Le CA de référence est celui de la création, soit une perte de "&amp;ROUND(AB420,0)&amp;" €"&amp;" ==&gt; "&amp;ROUND(AE420*100,0)&amp;" %"),IF(AB418&gt;=AB419,"- Le CA de référence est celui de Mai 2019, soit une perte de "&amp;ROUND(AB418,0)&amp;" €"&amp;" ==&gt; "&amp;ROUND(AE418*100,0)&amp;" %","- Le CA de référence est celui de l'exercice 2019, soit une perte de "&amp;ROUND(AB419,0)&amp;" €"&amp;" ==&gt; "&amp;ROUND(AE419*100,0)&amp;" %")),"")</f>
        <v>- Le CA de référence est celui de Mai 2019, soit une perte de 0 € ==&gt; 0 %</v>
      </c>
      <c r="E447" s="523"/>
      <c r="F447" s="523"/>
      <c r="G447" s="523"/>
      <c r="H447" s="523"/>
      <c r="I447" s="523"/>
      <c r="J447" s="523"/>
      <c r="K447" s="523"/>
      <c r="L447" s="523"/>
      <c r="M447" s="523"/>
      <c r="N447" s="523"/>
      <c r="O447" s="523"/>
      <c r="P447" s="1"/>
      <c r="T447" s="14"/>
      <c r="U447" s="381"/>
      <c r="V447" s="381"/>
      <c r="W447" s="381"/>
      <c r="X447" s="381"/>
      <c r="Y447" s="381"/>
      <c r="Z447" s="1"/>
      <c r="AA447" s="14"/>
      <c r="AB447" s="381"/>
      <c r="AC447" s="1"/>
      <c r="AD447" s="1"/>
      <c r="AE447" s="13"/>
    </row>
    <row r="448" spans="1:31" ht="16.5" customHeight="1">
      <c r="A448" s="99"/>
      <c r="B448" s="103"/>
      <c r="C448" s="387"/>
      <c r="D448" s="524" t="str">
        <f>IFERROR(IF('Mon Entreprise'!K8&gt;=Annexes!O20,"",IF(AB418&lt;AB419,"A noter qu'il convient de choisir l'option retenue par l'entreprise lors de sa demande au titre du mois Février 2021, ou a défaut celui du mois de Mars, d'Avril 2021, si le CA de référence était celui de février 2019,"&amp;" il convient de prendre celui de Mai 2019 (...), soit "&amp;ROUND(AB418,0)&amp;" €"&amp;" ==&gt; "&amp;ROUND(AE418*100,0)&amp;" %","A noter qu'il convient de choisir l'option retenue par l'entreprise lors de sa demande"&amp;" au titre du mois Février 2021,  ou a défaut celui du mois de Mars, d'Avril 2021, si le CA de référence était celui de l'exercice 2019, il convient de prendre celui de l'exercie 2019, soit une perte de "&amp;ROUND(AB419,0)&amp;" €"&amp;" ==&gt; "&amp;ROUND(AE419*100,0)&amp;" %")),"")</f>
        <v>A noter qu'il convient de choisir l'option retenue par l'entreprise lors de sa demande au titre du mois Février 2021,  ou a défaut celui du mois de Mars, d'Avril 2021, si le CA de référence était celui de l'exercice 2019, il convient de prendre celui de l'exercie 2019, soit une perte de 0 € ==&gt; 0 %</v>
      </c>
      <c r="E448" s="524"/>
      <c r="F448" s="524"/>
      <c r="G448" s="524"/>
      <c r="H448" s="524"/>
      <c r="I448" s="524"/>
      <c r="J448" s="524"/>
      <c r="K448" s="524"/>
      <c r="L448" s="524"/>
      <c r="M448" s="524"/>
      <c r="N448" s="524"/>
      <c r="O448" s="524"/>
      <c r="P448" s="1"/>
      <c r="T448" s="14"/>
      <c r="U448" s="525" t="s">
        <v>72</v>
      </c>
      <c r="V448" s="525"/>
      <c r="W448" s="525"/>
      <c r="X448" s="525"/>
      <c r="Y448" s="525"/>
      <c r="Z448" s="139"/>
      <c r="AA448" s="145"/>
      <c r="AB448" s="385" t="str">
        <f>IF(AB429="Oui","Oui","Non")</f>
        <v>Oui</v>
      </c>
      <c r="AC448" s="139"/>
      <c r="AD448" s="1"/>
      <c r="AE448" s="13"/>
    </row>
    <row r="449" spans="1:31" ht="16.5" customHeight="1">
      <c r="A449" s="99"/>
      <c r="B449" s="103"/>
      <c r="C449" s="387"/>
      <c r="D449" s="524"/>
      <c r="E449" s="524"/>
      <c r="F449" s="524"/>
      <c r="G449" s="524"/>
      <c r="H449" s="524"/>
      <c r="I449" s="524"/>
      <c r="J449" s="524"/>
      <c r="K449" s="524"/>
      <c r="L449" s="524"/>
      <c r="M449" s="524"/>
      <c r="N449" s="524"/>
      <c r="O449" s="524"/>
      <c r="P449" s="1"/>
      <c r="T449" s="14"/>
      <c r="U449" s="525" t="s">
        <v>84</v>
      </c>
      <c r="V449" s="525"/>
      <c r="W449" s="525"/>
      <c r="X449" s="525"/>
      <c r="Y449" s="525"/>
      <c r="Z449" s="139"/>
      <c r="AA449" s="145"/>
      <c r="AB449" s="385">
        <f>IF('Mon Entreprise'!K8&gt;=Annexes!O20,IF(AB418&gt;=AB420,AB418,AB420),IF(AB418&gt;=AB419,AB418,AB419))</f>
        <v>0</v>
      </c>
      <c r="AC449" s="139"/>
      <c r="AD449" s="1"/>
      <c r="AE449" s="13"/>
    </row>
    <row r="450" spans="1:31" ht="16.5" customHeight="1">
      <c r="B450" s="103"/>
      <c r="C450" s="387"/>
      <c r="D450" s="215" t="str">
        <f>IF(OR(AB442="OUI",AB445=TRUE),"- Sans ticket modérateur",IF(AND(OR(AB444="OUI",AB443="OUI"),OR(AB438&gt;=0.8,AB439&gt;=0.8,AB440&gt;=0.1)),"- La Perte de référence est plafonnée à 80 %, soit "&amp;ROUND(AB453,0)&amp;" €","- Sans ticket modérateur"))</f>
        <v>- Sans ticket modérateur</v>
      </c>
      <c r="E450" s="377"/>
      <c r="F450" s="377"/>
      <c r="G450" s="377"/>
      <c r="H450" s="377"/>
      <c r="I450" s="377"/>
      <c r="J450" s="377"/>
      <c r="K450" s="377"/>
      <c r="L450" s="377"/>
      <c r="M450" s="377"/>
      <c r="N450" s="377"/>
      <c r="O450" s="377"/>
      <c r="P450" s="1"/>
      <c r="T450" s="14"/>
      <c r="U450" s="525" t="s">
        <v>85</v>
      </c>
      <c r="V450" s="525"/>
      <c r="W450" s="525"/>
      <c r="X450" s="525"/>
      <c r="Y450" s="525"/>
      <c r="Z450" s="139"/>
      <c r="AA450" s="145"/>
      <c r="AB450" s="385">
        <f>IF('Mon Entreprise'!K8&gt;=Annexes!O20,IF(AB418&gt;=AB420,AE418,AE420),IF(AB418&gt;=AB419,AE418,AE419))</f>
        <v>0</v>
      </c>
      <c r="AC450" s="139"/>
      <c r="AD450" s="1"/>
      <c r="AE450" s="13"/>
    </row>
    <row r="451" spans="1:31" ht="16.5" customHeight="1" thickBot="1">
      <c r="B451" s="103"/>
      <c r="C451" s="387"/>
      <c r="D451" s="377"/>
      <c r="E451" s="377"/>
      <c r="F451" s="377"/>
      <c r="G451" s="377"/>
      <c r="H451" s="377"/>
      <c r="I451" s="377"/>
      <c r="J451" s="377"/>
      <c r="K451" s="377"/>
      <c r="L451" s="377"/>
      <c r="M451" s="377"/>
      <c r="N451" s="377"/>
      <c r="O451" s="377"/>
      <c r="P451" s="1"/>
      <c r="T451" s="14"/>
      <c r="U451" s="502" t="s">
        <v>74</v>
      </c>
      <c r="V451" s="502"/>
      <c r="W451" s="502"/>
      <c r="X451" s="502"/>
      <c r="Y451" s="502"/>
      <c r="Z451" s="139"/>
      <c r="AA451" s="145"/>
      <c r="AB451" s="385">
        <f>IF(OR(AB442="OUI",AB445=TRUE),1,IF(AND(OR(AB444="OUI",AB443="OUI"),OR(AB438&gt;=0.8,AB439&gt;=0.8,AB440&gt;=0.1)),0.8,1))</f>
        <v>1</v>
      </c>
      <c r="AC451" s="139"/>
      <c r="AD451" s="1"/>
      <c r="AE451" s="13"/>
    </row>
    <row r="452" spans="1:31" ht="16.5" customHeight="1">
      <c r="B452" s="103"/>
      <c r="C452" s="387"/>
      <c r="D452" s="508" t="str">
        <f>IFERROR(IF(AB448="NON","Vous avez débuté votre activité après le 31 Janvier 2020, vous ne pouvez donc pas bénéficier de cette aide",IF(OR(AB445=TRUE,AND(AB446=TRUE,AB450&gt;=0.5)),IF(AB453&gt;Annexes!O6,"Dans votre cas, l'aide est Plafonnée, à "&amp;Annexes!O6&amp;" € pour le mois de Mai","Vous pouvez bénéficier, au titre de cette aide, d'un montant de "&amp;ROUND(AB453,0)&amp;" € pour le mois de Mai"),IF(AB450&gt;=0.5,IF(OR(AB442="OUI",AND(OR(AB444="OUI",AB443="OUI"),OR(AB438&gt;=Annexes!P5,AB439&gt;=Annexes!P5,AB440&gt;=0.1))),IF(AB453&gt;Annexes!O6,"Dans votre cas, l'aide est Plafonnée, à "&amp;Annexes!O6&amp;" € pour le mois de Mai","Vous pouvez bénéficier, au titre de cette aide, d'un montant de "&amp;ROUND(AB453,0)&amp;" € pour le mois de Mai"),IF(AND(OR(AB444="OUI",AB443="OUI"),OR(AB438&lt;Annexes!P5,AB439&lt;Annexes!P5)),"L'entreprise fait partie des entreprises mentionnées en annexe 2 ou 3 ou dans un centre commercial du décret, mais n'a pas eu une perte de CA d'au-Moins 80 % entre le 15/03/2020 et le 15/05/2020 "&amp;"ou au mois de Novembre 2020 ou 10 % de perte entre 2019 et 2020","L'entreprise ne fait pas partie des entreprises"&amp;" ayant une fermeture administrative avec une perte de 20 % de CA et ne fait pas partie des activités mentionnées aux annexes 1, 2 et 3 ou dans un centre commercial du décret")),"L'entreprise n'a pas une perte d'au moins 50 % en Mai 2021"))),"Vous n'avez pas indiqué de chiffre d'affaires de référence")</f>
        <v>L'entreprise n'a pas une perte d'au moins 50 % en Mai 2021</v>
      </c>
      <c r="E452" s="509"/>
      <c r="F452" s="509"/>
      <c r="G452" s="509"/>
      <c r="H452" s="509"/>
      <c r="I452" s="509"/>
      <c r="J452" s="509"/>
      <c r="K452" s="509"/>
      <c r="L452" s="509"/>
      <c r="M452" s="509"/>
      <c r="N452" s="509"/>
      <c r="O452" s="510"/>
      <c r="P452" s="1"/>
      <c r="T452" s="14"/>
      <c r="U452" s="502" t="s">
        <v>80</v>
      </c>
      <c r="V452" s="502"/>
      <c r="W452" s="502"/>
      <c r="X452" s="502"/>
      <c r="Y452" s="502"/>
      <c r="Z452" s="139"/>
      <c r="AA452" s="145"/>
      <c r="AB452" s="385">
        <f>IF('Mon Entreprise'!K8&gt;=Annexes!O20,IF(AB418&gt;=AB420,Y418,Y420),IF(AB418&gt;=AB419,Y418,Y419))</f>
        <v>0</v>
      </c>
      <c r="AC452" s="139"/>
      <c r="AD452" s="1"/>
      <c r="AE452" s="13"/>
    </row>
    <row r="453" spans="1:31" ht="16.5" customHeight="1">
      <c r="B453" s="173"/>
      <c r="C453" s="387"/>
      <c r="D453" s="511"/>
      <c r="E453" s="512"/>
      <c r="F453" s="512"/>
      <c r="G453" s="512"/>
      <c r="H453" s="512"/>
      <c r="I453" s="512"/>
      <c r="J453" s="512"/>
      <c r="K453" s="512"/>
      <c r="L453" s="512"/>
      <c r="M453" s="512"/>
      <c r="N453" s="512"/>
      <c r="O453" s="513"/>
      <c r="P453" s="1"/>
      <c r="T453" s="14"/>
      <c r="U453" s="490" t="s">
        <v>104</v>
      </c>
      <c r="V453" s="490"/>
      <c r="W453" s="490"/>
      <c r="X453" s="490"/>
      <c r="Y453" s="490"/>
      <c r="Z453" s="1"/>
      <c r="AA453" s="14"/>
      <c r="AB453" s="381">
        <f>IF(AB451=1,AB449,IF(AB449*AB451&gt;1500,IF(AB449&gt;1500,AB449*AB451,"Impossible"),IF(AB449&lt;1500,AB449,1500)))</f>
        <v>0</v>
      </c>
      <c r="AC453" s="1"/>
      <c r="AD453" s="1"/>
      <c r="AE453" s="13"/>
    </row>
    <row r="454" spans="1:31" ht="16.5" customHeight="1">
      <c r="B454" s="103"/>
      <c r="C454" s="387"/>
      <c r="D454" s="511"/>
      <c r="E454" s="512"/>
      <c r="F454" s="512"/>
      <c r="G454" s="512"/>
      <c r="H454" s="512"/>
      <c r="I454" s="512"/>
      <c r="J454" s="512"/>
      <c r="K454" s="512"/>
      <c r="L454" s="512"/>
      <c r="M454" s="512"/>
      <c r="N454" s="512"/>
      <c r="O454" s="513"/>
      <c r="P454" s="1"/>
      <c r="T454" s="14"/>
      <c r="U454" s="381"/>
      <c r="V454" s="381"/>
      <c r="W454" s="381"/>
      <c r="X454" s="381"/>
      <c r="Y454" s="381"/>
      <c r="Z454" s="1"/>
      <c r="AA454" s="1"/>
      <c r="AB454" s="1"/>
      <c r="AC454" s="1"/>
      <c r="AD454" s="1"/>
      <c r="AE454" s="13"/>
    </row>
    <row r="455" spans="1:31" ht="16.5" customHeight="1" thickBot="1">
      <c r="B455" s="103"/>
      <c r="C455" s="387"/>
      <c r="D455" s="514"/>
      <c r="E455" s="515"/>
      <c r="F455" s="515"/>
      <c r="G455" s="515"/>
      <c r="H455" s="515"/>
      <c r="I455" s="515"/>
      <c r="J455" s="515"/>
      <c r="K455" s="515"/>
      <c r="L455" s="515"/>
      <c r="M455" s="515"/>
      <c r="N455" s="515"/>
      <c r="O455" s="516"/>
      <c r="P455" s="1"/>
      <c r="T455" s="14"/>
      <c r="U455" s="490"/>
      <c r="V455" s="490"/>
      <c r="W455" s="490"/>
      <c r="X455" s="490"/>
      <c r="Y455" s="490"/>
      <c r="Z455" s="1"/>
      <c r="AA455" s="1"/>
      <c r="AB455" s="1"/>
      <c r="AC455" s="1"/>
      <c r="AD455" s="1"/>
      <c r="AE455" s="13"/>
    </row>
    <row r="456" spans="1:31" ht="16.5" customHeight="1">
      <c r="B456" s="103"/>
      <c r="C456" s="169"/>
      <c r="D456" s="174"/>
      <c r="E456" s="174"/>
      <c r="F456" s="174"/>
      <c r="G456" s="174"/>
      <c r="H456" s="174"/>
      <c r="I456" s="174"/>
      <c r="J456" s="174"/>
      <c r="K456" s="174"/>
      <c r="L456" s="174"/>
      <c r="M456" s="174"/>
      <c r="N456" s="174"/>
      <c r="O456" s="174"/>
      <c r="P456" s="1"/>
      <c r="T456" s="14"/>
      <c r="U456" s="381"/>
      <c r="V456" s="381"/>
      <c r="W456" s="381"/>
      <c r="X456" s="381"/>
      <c r="Y456" s="381"/>
      <c r="Z456" s="1"/>
      <c r="AA456" s="1"/>
      <c r="AB456" s="1"/>
      <c r="AC456" s="1"/>
      <c r="AD456" s="1"/>
      <c r="AE456" s="13"/>
    </row>
    <row r="457" spans="1:31" ht="16.5" customHeight="1">
      <c r="B457" s="103"/>
      <c r="C457" s="387"/>
      <c r="D457" s="377"/>
      <c r="E457" s="377"/>
      <c r="F457" s="377"/>
      <c r="G457" s="377"/>
      <c r="H457" s="377"/>
      <c r="I457" s="377"/>
      <c r="J457" s="377"/>
      <c r="K457" s="377"/>
      <c r="L457" s="377"/>
      <c r="M457" s="377"/>
      <c r="N457" s="377"/>
      <c r="O457" s="377"/>
      <c r="P457" s="1"/>
      <c r="T457" s="14"/>
      <c r="U457" s="1"/>
      <c r="V457" s="1"/>
      <c r="W457" s="1"/>
      <c r="X457" s="1"/>
      <c r="Y457" s="1"/>
      <c r="Z457" s="1"/>
      <c r="AA457" s="1"/>
      <c r="AB457" s="1"/>
      <c r="AC457" s="1"/>
      <c r="AD457" s="1"/>
      <c r="AE457" s="13"/>
    </row>
    <row r="458" spans="1:31" ht="16.5" customHeight="1">
      <c r="B458" s="103"/>
      <c r="C458" s="529" t="s">
        <v>464</v>
      </c>
      <c r="D458" s="529"/>
      <c r="E458" s="529"/>
      <c r="F458" s="529"/>
      <c r="G458" s="529"/>
      <c r="H458" s="529"/>
      <c r="I458" s="529"/>
      <c r="J458" s="529"/>
      <c r="K458" s="529"/>
      <c r="L458" s="529"/>
      <c r="M458" s="529"/>
      <c r="N458" s="529"/>
      <c r="O458" s="529"/>
      <c r="P458" s="1"/>
      <c r="T458" s="14"/>
      <c r="U458" s="1"/>
      <c r="V458" s="1"/>
      <c r="W458" s="1"/>
      <c r="X458" s="1"/>
      <c r="Y458" s="1"/>
      <c r="Z458" s="1"/>
      <c r="AA458" s="1"/>
      <c r="AB458" s="1"/>
      <c r="AC458" s="1"/>
      <c r="AD458" s="1"/>
      <c r="AE458" s="13"/>
    </row>
    <row r="459" spans="1:31" ht="16.5" customHeight="1">
      <c r="B459" s="103"/>
      <c r="C459" s="529"/>
      <c r="D459" s="529"/>
      <c r="E459" s="529"/>
      <c r="F459" s="529"/>
      <c r="G459" s="529"/>
      <c r="H459" s="529"/>
      <c r="I459" s="529"/>
      <c r="J459" s="529"/>
      <c r="K459" s="529"/>
      <c r="L459" s="529"/>
      <c r="M459" s="529"/>
      <c r="N459" s="529"/>
      <c r="O459" s="529"/>
      <c r="P459" s="1"/>
      <c r="T459" s="14"/>
      <c r="U459" s="1"/>
      <c r="V459" s="1"/>
      <c r="W459" s="1"/>
      <c r="X459" s="1"/>
      <c r="Y459" s="1"/>
      <c r="Z459" s="1"/>
      <c r="AA459" s="1"/>
      <c r="AB459" s="1"/>
      <c r="AC459" s="1"/>
      <c r="AD459" s="1"/>
      <c r="AE459" s="13"/>
    </row>
    <row r="460" spans="1:31" ht="16.5" customHeight="1">
      <c r="B460" s="103"/>
      <c r="C460" s="529"/>
      <c r="D460" s="529"/>
      <c r="E460" s="529"/>
      <c r="F460" s="529"/>
      <c r="G460" s="529"/>
      <c r="H460" s="529"/>
      <c r="I460" s="529"/>
      <c r="J460" s="529"/>
      <c r="K460" s="529"/>
      <c r="L460" s="529"/>
      <c r="M460" s="529"/>
      <c r="N460" s="529"/>
      <c r="O460" s="529"/>
      <c r="P460" s="1"/>
      <c r="T460" s="14"/>
      <c r="U460" s="1"/>
      <c r="V460" s="1"/>
      <c r="W460" s="1"/>
      <c r="X460" s="1"/>
      <c r="Y460" s="1"/>
      <c r="Z460" s="1"/>
      <c r="AA460" s="1"/>
      <c r="AB460" s="1"/>
      <c r="AC460" s="1"/>
      <c r="AD460" s="1"/>
      <c r="AE460" s="13"/>
    </row>
    <row r="461" spans="1:31" ht="16.5" customHeight="1">
      <c r="B461" s="173"/>
      <c r="C461" s="529"/>
      <c r="D461" s="529"/>
      <c r="E461" s="529"/>
      <c r="F461" s="529"/>
      <c r="G461" s="529"/>
      <c r="H461" s="529"/>
      <c r="I461" s="529"/>
      <c r="J461" s="529"/>
      <c r="K461" s="529"/>
      <c r="L461" s="529"/>
      <c r="M461" s="529"/>
      <c r="N461" s="529"/>
      <c r="O461" s="529"/>
      <c r="P461" s="1"/>
      <c r="T461" s="14"/>
      <c r="U461" s="1"/>
      <c r="V461" s="1"/>
      <c r="W461" s="1"/>
      <c r="X461" s="1"/>
      <c r="Y461" s="1"/>
      <c r="Z461" s="1"/>
      <c r="AA461" s="1"/>
      <c r="AB461" s="1"/>
      <c r="AC461" s="1"/>
      <c r="AD461" s="1"/>
      <c r="AE461" s="13"/>
    </row>
    <row r="462" spans="1:31" ht="16.5" customHeight="1">
      <c r="B462" s="173"/>
      <c r="C462" s="387"/>
      <c r="D462" s="306"/>
      <c r="E462" s="523" t="str">
        <f>IF(AB448="NON","",IF(OR(AB442="OUI",AND(OR(AB444="OUI",AB443="OUI"),OR(AB438&gt;=Annexes!P5,AB439&gt;=Annexes!P5,'Mes Aides'!AB145&gt;=0.1)),AB445=TRUE,AB446=TRUE),"",IF(AND(OR(AB444="OUI",AB443="OUI"),OR(AB438&lt;Annexes!P5,AB439&lt;Annexes!P5,'Mes Aides'!AB145&lt;0.1)),"L'entreprise fait partie des entreprises mentionnées en annexe 2 ou 3 ou dans un centre commercial du décret mais n'a pas eu une perte de CA d'au-Moins 80 %, entre le 15/03/2020 et le 15/05/2020 ou Novembre 2020 ou 10 % entre 2019 et 2020","L'entreprise ne fait pas partie des entreprises ayant une fermeture administrative sur le mois avec une perte de 20 % de CA et ne fait pas partie des activités mentionnées aux annexes 1, 2 et 3 ou dans un centre commercial du décret.")))</f>
        <v>L'entreprise ne fait pas partie des entreprises ayant une fermeture administrative sur le mois avec une perte de 20 % de CA et ne fait pas partie des activités mentionnées aux annexes 1, 2 et 3 ou dans un centre commercial du décret.</v>
      </c>
      <c r="F462" s="523"/>
      <c r="G462" s="523"/>
      <c r="H462" s="523"/>
      <c r="I462" s="523"/>
      <c r="J462" s="523"/>
      <c r="K462" s="523"/>
      <c r="L462" s="523"/>
      <c r="M462" s="523"/>
      <c r="N462" s="523"/>
      <c r="O462" s="523"/>
      <c r="P462" s="1"/>
      <c r="T462" s="14"/>
      <c r="U462" s="502" t="s">
        <v>82</v>
      </c>
      <c r="V462" s="502"/>
      <c r="W462" s="502"/>
      <c r="X462" s="502"/>
      <c r="Y462" s="502"/>
      <c r="Z462" s="68"/>
      <c r="AA462" s="1"/>
      <c r="AB462" s="1">
        <f>IFERROR(IF(AB429="Non",0,IF(OR(AB445=TRUE,AND(AB432&lt;0.5,AB446=TRUE),(AB432&gt;=0.5)),IF(AB431&gt;Annexes!O5,Annexes!O5,ROUND(AB431,0)),0)),0)</f>
        <v>0</v>
      </c>
      <c r="AC462" s="1"/>
      <c r="AD462" s="1"/>
      <c r="AE462" s="13"/>
    </row>
    <row r="463" spans="1:31" ht="15" customHeight="1">
      <c r="B463" s="173"/>
      <c r="C463" s="387"/>
      <c r="D463" s="306"/>
      <c r="E463" s="523"/>
      <c r="F463" s="523"/>
      <c r="G463" s="523"/>
      <c r="H463" s="523"/>
      <c r="I463" s="523"/>
      <c r="J463" s="523"/>
      <c r="K463" s="523"/>
      <c r="L463" s="523"/>
      <c r="M463" s="523"/>
      <c r="N463" s="523"/>
      <c r="O463" s="523"/>
      <c r="P463" s="1"/>
      <c r="T463" s="14"/>
      <c r="U463" s="502" t="s">
        <v>81</v>
      </c>
      <c r="V463" s="502"/>
      <c r="W463" s="502"/>
      <c r="X463" s="502"/>
      <c r="Y463" s="502"/>
      <c r="Z463" s="68"/>
      <c r="AA463" s="1"/>
      <c r="AB463" s="1">
        <f>IFERROR(IF(AB448="NON",0,IF(OR(AB445=TRUE,AND(AB446=TRUE,AB450&gt;=0.5)),IF(AB453&gt;Annexes!O6,Annexes!O6,ROUND(AB453,0)),IF(AB450&gt;=0.5,IF(OR(AB442="OUI",AND(OR(AB444="OUI",AB443="OUI"),OR(AB438&gt;=Annexes!P5,AB439&gt;=Annexes!P5,AB440&gt;=0.1))),IF(AB453&gt;Annexes!O6,Annexes!O6,ROUND(AB453,0)),IF(AND(OR(AB444="OUI",AB443="OUI"),OR(AB438&lt;Annexes!P5,AB439&lt;Annexes!P5)),0,0)),0))),0)</f>
        <v>0</v>
      </c>
      <c r="AC463" s="1"/>
      <c r="AD463" s="1"/>
      <c r="AE463" s="13"/>
    </row>
    <row r="464" spans="1:31" ht="15" customHeight="1">
      <c r="B464" s="173"/>
      <c r="C464" s="387"/>
      <c r="D464" s="306"/>
      <c r="E464" s="523"/>
      <c r="F464" s="523"/>
      <c r="G464" s="523"/>
      <c r="H464" s="523"/>
      <c r="I464" s="523"/>
      <c r="J464" s="523"/>
      <c r="K464" s="523"/>
      <c r="L464" s="523"/>
      <c r="M464" s="523"/>
      <c r="N464" s="523"/>
      <c r="O464" s="523"/>
      <c r="P464" s="1"/>
      <c r="T464" s="14"/>
      <c r="U464" s="502" t="s">
        <v>399</v>
      </c>
      <c r="V464" s="502"/>
      <c r="W464" s="502"/>
      <c r="X464" s="502"/>
      <c r="Y464" s="502"/>
      <c r="Z464" s="68"/>
      <c r="AA464" s="1"/>
      <c r="AB464" s="1">
        <f>IFERROR(IF(AB448="NON",0,IF(OR(AB445=TRUE,AND(AB446=TRUE,AB450&gt;=0.5)),IF(AB452=0,0,IF(AB449&lt;AB452*0.2,ROUND(AB449,0),IF(AB452*0.2&gt;=200000,Annexes!O8,ROUND(AB452*0.2,0)))),IF(OR(AB442="OUI",AND(AB443="OUI",OR(AB438&gt;=0.8,AB439&gt;=0.8,AB440&gt;=0.1))),IF(AB450&gt;=0.7,IF(AB449&lt;AB452*0.2,ROUND(AB449,0),IF(AB452*0.2&gt;=200000,Annexes!O8,ROUND(AB452*0.2,0))),IF(AB450&gt;=0.5,IF(AB449&lt;AB452*0.15,ROUND(AB449,0),IF(AB452*0.15&gt;=200000,Annexes!O8,ROUND(AB452*0.15,0))),IF(AND(AB444="OUI",OR(AB438&gt;=0.8,AB439&gt;=0.8,AB440&gt;=0.1),AB450&gt;=0.7),IF(AB449&lt;AB452*0.2,ROUND(AB449,0),IF(AB452*0.2&gt;=200000,Annexes!O8,ROUND(AB452*0.2,0))),0))),IF(AND(AB444="OUI",OR(AB438&gt;=0.8,AB439&gt;=0.8,AB440&gt;=0.1),AB450&gt;=0.7),IF(AB449&lt;AB452*0.2,ROUND(AB449,0),IF(AB452*0.2&gt;=200000,Annexes!O8,ROUND(AB452*0.2,0))),0)))),0)</f>
        <v>0</v>
      </c>
      <c r="AC464" s="1"/>
      <c r="AD464" s="1"/>
      <c r="AE464" s="13"/>
    </row>
    <row r="465" spans="2:31" ht="16.5" customHeight="1">
      <c r="B465" s="173"/>
      <c r="C465" s="387"/>
      <c r="D465" s="417" t="str">
        <f>IFERROR(IF('Mon Entreprise'!K8&gt;=Annexes!O20,IF(AB418&gt;=AB420,"- Le CA de référence est celui de Mai 2019, soit une perte de "&amp;ROUND(AB418,0)&amp;" €"&amp;" ==&gt; "&amp;ROUND(AE418*100,0)&amp;" %","- Le CA de référence est celui de la création, soit une perte de "&amp;ROUND(AB420,0)&amp;" €"&amp;" ==&gt; "&amp;ROUND(AE420*100,0)&amp;" %"),IF(AB418&gt;=AB419,"- Le CA de référence est celui de Mai 2019, soit une perte de "&amp;ROUND(AB418,0)&amp;" €"&amp;" ==&gt; "&amp;ROUND(AE418*100,0)&amp;" %","- Le CA de référence est celui de l'exercice 2019, soit une perte de "&amp;ROUND(AB419,0)&amp;" €"&amp;" ==&gt; "&amp;ROUND(AE419*100,0)&amp;" %")),"")</f>
        <v>- Le CA de référence est celui de Mai 2019, soit une perte de 0 € ==&gt; 0 %</v>
      </c>
      <c r="E465" s="417"/>
      <c r="F465" s="417"/>
      <c r="G465" s="417"/>
      <c r="H465" s="417"/>
      <c r="I465" s="417"/>
      <c r="J465" s="417"/>
      <c r="K465" s="417"/>
      <c r="L465" s="417"/>
      <c r="M465" s="417"/>
      <c r="N465" s="417"/>
      <c r="O465" s="417"/>
      <c r="P465" s="377"/>
      <c r="Q465" s="377"/>
      <c r="T465" s="14"/>
      <c r="U465" s="1"/>
      <c r="V465" s="1"/>
      <c r="W465" s="1"/>
      <c r="X465" s="1"/>
      <c r="Y465" s="1"/>
      <c r="Z465" s="1"/>
      <c r="AA465" s="1"/>
      <c r="AB465" s="1"/>
      <c r="AC465" s="1"/>
      <c r="AD465" s="1"/>
      <c r="AE465" s="13"/>
    </row>
    <row r="466" spans="2:31" ht="16.5" customHeight="1">
      <c r="B466" s="173"/>
      <c r="C466" s="387"/>
      <c r="D466" s="524" t="str">
        <f>IFERROR(IF('Mon Entreprise'!K8&gt;=Annexes!O20,"",IF(AB418&lt;AB419,"A noter qu'il convient de choisir l'option retenue par l'entreprise lors de sa demande au titre du mois Février 2021,  ou a défaut celui du mois de Mars, d'Avril 2021, si le CA de référence était celui de février 2019, il convient"&amp;" de prendre celui de Mai 2019 (...), soit "&amp;ROUND(AB418,0)&amp;" €"&amp;" ==&gt; "&amp;ROUND(AE418*100,0)&amp;" %","A noter qu'il convient de choisir l'option retenue par l'entreprise lors de sa demande au titre du mois Février 2021, "&amp;"ou a défaut celui du mois de Mars, d'Avril 2021, si le CA de référence était celui de l'exercice 2019, il convient de prendre celui de l'exercie 2019, soit une perte de "&amp;ROUND(AB419,0)&amp;" €"&amp;" ==&gt; "&amp;ROUND(AE419*100,0)&amp;" %")),"")</f>
        <v>A noter qu'il convient de choisir l'option retenue par l'entreprise lors de sa demande au titre du mois Février 2021, ou a défaut celui du mois de Mars, d'Avril 2021, si le CA de référence était celui de l'exercice 2019, il convient de prendre celui de l'exercie 2019, soit une perte de 0 € ==&gt; 0 %</v>
      </c>
      <c r="E466" s="524"/>
      <c r="F466" s="524"/>
      <c r="G466" s="524"/>
      <c r="H466" s="524"/>
      <c r="I466" s="524"/>
      <c r="J466" s="524"/>
      <c r="K466" s="524"/>
      <c r="L466" s="524"/>
      <c r="M466" s="524"/>
      <c r="N466" s="524"/>
      <c r="O466" s="524"/>
      <c r="P466" s="377"/>
      <c r="Q466" s="377"/>
      <c r="T466" s="14"/>
      <c r="U466" s="1"/>
      <c r="V466" s="1"/>
      <c r="W466" s="1"/>
      <c r="X466" s="1"/>
      <c r="Y466" s="1"/>
      <c r="Z466" s="1"/>
      <c r="AA466" s="1"/>
      <c r="AB466" s="1"/>
      <c r="AC466" s="1"/>
      <c r="AD466" s="1"/>
      <c r="AE466" s="13"/>
    </row>
    <row r="467" spans="2:31" ht="16.5" customHeight="1">
      <c r="B467" s="173"/>
      <c r="C467" s="387"/>
      <c r="D467" s="524"/>
      <c r="E467" s="524"/>
      <c r="F467" s="524"/>
      <c r="G467" s="524"/>
      <c r="H467" s="524"/>
      <c r="I467" s="524"/>
      <c r="J467" s="524"/>
      <c r="K467" s="524"/>
      <c r="L467" s="524"/>
      <c r="M467" s="524"/>
      <c r="N467" s="524"/>
      <c r="O467" s="524"/>
      <c r="P467" s="377"/>
      <c r="Q467" s="377"/>
      <c r="T467" s="14"/>
      <c r="U467" s="1"/>
      <c r="V467" s="1"/>
      <c r="W467" s="1"/>
      <c r="X467" s="1"/>
      <c r="Y467" s="1"/>
      <c r="Z467" s="1"/>
      <c r="AA467" s="1"/>
      <c r="AB467" s="1"/>
      <c r="AC467" s="1"/>
      <c r="AD467" s="1"/>
      <c r="AE467" s="13"/>
    </row>
    <row r="468" spans="2:31" ht="16.5" customHeight="1">
      <c r="B468" s="103"/>
      <c r="C468" s="387"/>
      <c r="D468" s="523" t="str">
        <f>IF(OR(AB445=TRUE,AND(AB446=TRUE,AB450&gt;=0.5)),"- L'entreprise peut bénéficier d'une aide de 20 % du CA de référence, plafonnée à 200 000 €",IF(OR(AB442="OUI",AND(AB443="OUI",OR(AB438&gt;=0.8,AB439&gt;=0.8,AB440&gt;=0.1))),IF(AB450&gt;=0.7,"- L'entreprise peut bénéficier d'une aide de 20 % du CA de référence, plafonnée à 200 000 €",IF(AB450&gt;=0.5,"- L'entreprise peut bénéficier d'une aide de 15 % du CA de référence, plafonnée à 200 000 €","- L'entreprise n'a subi ni de fermeture administrative avec une perte de 20 % de CA au mois de Mai, ni de perte d'au moins 50 % de son CA")),IF(AND(AB444="OUI",OR(AB438&gt;=0.8,AB439&gt;=0.8,AB440&gt;=0.1),AB450&gt;=0.5),"- L'entreprise peut bénéficier d'une aide de 20 % du CA de référence, plafonnée à 200 000 €","- L'entreprise ne fait ni partie des fermetures administratives avec une perte de 20 % du CA au mois de Mai, ni des activités mentionnées en annexe 1 (S1) ou en annexe 2 (S1 bis) ou Annexe 3 ou dans un centre commercial ayant une perte significative")))</f>
        <v>- L'entreprise ne fait ni partie des fermetures administratives avec une perte de 20 % du CA au mois de Mai, ni des activités mentionnées en annexe 1 (S1) ou en annexe 2 (S1 bis) ou Annexe 3 ou dans un centre commercial ayant une perte significative</v>
      </c>
      <c r="E468" s="523"/>
      <c r="F468" s="523"/>
      <c r="G468" s="523"/>
      <c r="H468" s="523"/>
      <c r="I468" s="523"/>
      <c r="J468" s="523"/>
      <c r="K468" s="523"/>
      <c r="L468" s="523"/>
      <c r="M468" s="523"/>
      <c r="N468" s="523"/>
      <c r="O468" s="523"/>
      <c r="P468" s="377"/>
      <c r="Q468" s="377"/>
      <c r="T468" s="14"/>
      <c r="U468" s="1"/>
      <c r="V468" s="1"/>
      <c r="W468" s="1"/>
      <c r="X468" s="1"/>
      <c r="Y468" s="1"/>
      <c r="Z468" s="1"/>
      <c r="AA468" s="1"/>
      <c r="AB468" s="1"/>
      <c r="AC468" s="1"/>
      <c r="AD468" s="1"/>
      <c r="AE468" s="13"/>
    </row>
    <row r="469" spans="2:31" ht="16.5" customHeight="1">
      <c r="B469" s="168"/>
      <c r="C469" s="387"/>
      <c r="D469" s="523"/>
      <c r="E469" s="523"/>
      <c r="F469" s="523"/>
      <c r="G469" s="523"/>
      <c r="H469" s="523"/>
      <c r="I469" s="523"/>
      <c r="J469" s="523"/>
      <c r="K469" s="523"/>
      <c r="L469" s="523"/>
      <c r="M469" s="523"/>
      <c r="N469" s="523"/>
      <c r="O469" s="523"/>
      <c r="P469" s="377"/>
      <c r="Q469" s="377"/>
      <c r="T469" s="14"/>
      <c r="U469" s="1"/>
      <c r="V469" s="1"/>
      <c r="W469" s="1"/>
      <c r="X469" s="1"/>
      <c r="Y469" s="1"/>
      <c r="Z469" s="1"/>
      <c r="AA469" s="1"/>
      <c r="AB469" s="1"/>
      <c r="AC469" s="1"/>
      <c r="AD469" s="1"/>
      <c r="AE469" s="13"/>
    </row>
    <row r="470" spans="2:31" ht="16.5" customHeight="1" thickBot="1">
      <c r="B470" s="168"/>
      <c r="C470" s="387"/>
      <c r="D470" s="377"/>
      <c r="E470" s="377"/>
      <c r="F470" s="377"/>
      <c r="G470" s="377"/>
      <c r="H470" s="377"/>
      <c r="I470" s="377"/>
      <c r="J470" s="377"/>
      <c r="K470" s="377"/>
      <c r="L470" s="377"/>
      <c r="M470" s="377"/>
      <c r="N470" s="377"/>
      <c r="O470" s="377"/>
      <c r="P470" s="377"/>
      <c r="Q470" s="377"/>
      <c r="T470" s="14"/>
      <c r="U470" s="1"/>
      <c r="V470" s="1"/>
      <c r="W470" s="1"/>
      <c r="X470" s="1"/>
      <c r="Y470" s="1"/>
      <c r="Z470" s="1"/>
      <c r="AA470" s="1"/>
      <c r="AB470" s="1"/>
      <c r="AC470" s="1"/>
      <c r="AD470" s="1"/>
      <c r="AE470" s="13"/>
    </row>
    <row r="471" spans="2:31" ht="16.5" customHeight="1">
      <c r="B471" s="103"/>
      <c r="C471" s="318"/>
      <c r="D471" s="527" t="str">
        <f>IFERROR(IF(AB448="NON","Vous avez débuté votre activité après le 31 Janvier 2020, vous ne pouvez donc pas bénéficier de cette aide",IF(OR(AB445=TRUE,AND(AB446=TRUE,AB450&gt;=0.5)),IF(AB452=0,"Vous n'avez pas indiqué de chiffre d'affaires de référence",IF(AB449&lt;AB452*0.2,"Dans votre cas, la perte est inférieure à 20 % du CA, l'aide est donc plafonnée à la perte, soit "&amp;ROUND(AB449,0)&amp;" € pour le mois de Mai",IF(AB452*0.2&gt;=200000,"Dans votre cas, l'aide est plafonnée, à "&amp;Annexes!O8&amp;" € pour le mois de Mai","Vous pouvez bénéficier, au titre de cette aide, d'un montant de "&amp;ROUND(AB452*0.2,0)&amp;" € pour le mois de Mai"))),IF(OR(AB442="OUI",AND(AB443="OUI",OR(AB438&gt;=0.8,AB439&gt;=0.8,AB440&gt;=0.1))),IF(AB450&gt;=0.7,IF(AB449&lt;AB452*0.2,"Dans votre cas, la perte est inférieure à 20 % du CA, l'aide est donc plafonnée à la perte, soit "&amp;ROUND(AB449,0)&amp;" € pour le mois de Mai",IF(AB452*0.2&gt;=200000,"Dans votre cas, l'aide est plafonnée, à "&amp;Annexes!O8&amp;" € pour le mois de Mai","Vous pouvez bénéficier, au titre de cette aide, d'un montant de "&amp;ROUND(AB452*0.2,0)&amp;" € pour le mois de Mai")),IF(AB450&gt;=0.5,IF(AB449&lt;AB452*0.15,"Dans votre cas, la perte est inférieure à 15 % du CA, l'aide est donc plafonnée à la perte, soit "&amp;ROUND(AB449,0)&amp;" € pour le mois de Mai",IF(AB452*0.15&gt;=200000,"Dans votre cas, l'aide est plafonnée, à "&amp;Annexes!O8&amp;" € pour le mois de Mai","Vous pouvez bénéficier, au titre de cette aide, d'un montant de "&amp;ROUND(AB452*0.15,0)&amp;" € pour le mois de Mai")),IF(AND(AB444="OUI",OR(AB438&gt;=0.8,AB439&gt;=0.8,AB440&gt;=0.1),AB450&gt;=0.7),IF(AB449&lt;AB452*0.2,"Dans votre cas, la perte est inférieure à 20 % du CA, l'aide est donc plafonnée à la perte, soit "&amp;ROUND(AB449,0)&amp;" € pour le mois de Mai",IF(AB452*0.2&gt;=200000,"Dans votre cas, l'aide est plafonnée, à "&amp;Annexes!O8&amp;" € pour le mois de Mai","Vous pouvez bénéficier, au titre de cette aide, d'un montant de "&amp;ROUND(AB452*0.2,0)&amp;" € pour le mois de Mai")),"L'entreprise ne fait ni partie des fermetures administratives au mois de Mai, ni des activités mentionnées en annexe 1 (S1) avec 50 % de perte en Mai ou en annexe 2 (S1 bis) ou 3 ou dans un centre commercial avec 70 % de Perte en de Mai"))),IF(AND(AB444="OUI",OR(AB438&gt;=0.8,AB439&gt;=0.8,AB440&gt;=0.1),AB450&gt;=0.7),IF(AB449&lt;AB452*0.2,"Dans votre cas, la perte est inférieure à 20 % du CA, l'aide est donc plafonnée à la perte, soit "&amp;ROUND(AB449,0)&amp;" € pour le mois de Mai",IF(AB452*0.2&gt;=200000,"Dans votre cas, l'aide est plafonnée, à "&amp;Annexes!O8&amp;" € pour le mois de Mai","Vous pouvez bénéficier, au titre de cette aide, d'un montant de "&amp;ROUND(AB452*0.2,0)&amp;" € pour le mois de Mai")),"L'entreprise ne fait ni partie des fermetures administratives avec 20 % de perte au mois de Mai, ni des activités mentionnées en annexe 1 (S1)"&amp;" ou en annexe 2 (S1 bis) avec 50 % de perte en Mai ou 3 ou dans un centre commercial avec 70 % de Perte en Mai")))),"Vous n'avez pas indiqué de chiffre d'affaires de référence")</f>
        <v>L'entreprise ne fait ni partie des fermetures administratives avec 20 % de perte au mois de Mai, ni des activités mentionnées en annexe 1 (S1) ou en annexe 2 (S1 bis) avec 50 % de perte en Mai ou 3 ou dans un centre commercial avec 70 % de Perte en Mai</v>
      </c>
      <c r="E471" s="509"/>
      <c r="F471" s="509"/>
      <c r="G471" s="509"/>
      <c r="H471" s="509"/>
      <c r="I471" s="509"/>
      <c r="J471" s="509"/>
      <c r="K471" s="509"/>
      <c r="L471" s="509"/>
      <c r="M471" s="509"/>
      <c r="N471" s="509"/>
      <c r="O471" s="510"/>
      <c r="P471" s="377"/>
      <c r="Q471" s="377"/>
      <c r="T471" s="14"/>
      <c r="U471" s="1"/>
      <c r="V471" s="1"/>
      <c r="W471" s="1"/>
      <c r="X471" s="1"/>
      <c r="Y471" s="1"/>
      <c r="Z471" s="1"/>
      <c r="AA471" s="1"/>
      <c r="AB471" s="1"/>
      <c r="AC471" s="1"/>
      <c r="AD471" s="1"/>
      <c r="AE471" s="13"/>
    </row>
    <row r="472" spans="2:31" ht="16.5" customHeight="1">
      <c r="B472" s="103"/>
      <c r="C472" s="318"/>
      <c r="D472" s="511"/>
      <c r="E472" s="512"/>
      <c r="F472" s="512"/>
      <c r="G472" s="512"/>
      <c r="H472" s="512"/>
      <c r="I472" s="512"/>
      <c r="J472" s="512"/>
      <c r="K472" s="512"/>
      <c r="L472" s="512"/>
      <c r="M472" s="512"/>
      <c r="N472" s="512"/>
      <c r="O472" s="513"/>
      <c r="P472" s="377"/>
      <c r="Q472" s="377"/>
      <c r="T472" s="14"/>
      <c r="U472" s="1"/>
      <c r="V472" s="1"/>
      <c r="W472" s="1"/>
      <c r="X472" s="1"/>
      <c r="Y472" s="1"/>
      <c r="Z472" s="1"/>
      <c r="AA472" s="1"/>
      <c r="AB472" s="1"/>
      <c r="AC472" s="1"/>
      <c r="AD472" s="1"/>
      <c r="AE472" s="13"/>
    </row>
    <row r="473" spans="2:31" ht="16.5" customHeight="1">
      <c r="B473" s="103"/>
      <c r="C473" s="318"/>
      <c r="D473" s="511"/>
      <c r="E473" s="512"/>
      <c r="F473" s="512"/>
      <c r="G473" s="512"/>
      <c r="H473" s="512"/>
      <c r="I473" s="512"/>
      <c r="J473" s="512"/>
      <c r="K473" s="512"/>
      <c r="L473" s="512"/>
      <c r="M473" s="512"/>
      <c r="N473" s="512"/>
      <c r="O473" s="513"/>
      <c r="P473" s="175"/>
      <c r="Q473" s="175"/>
      <c r="T473" s="14"/>
      <c r="U473" s="1"/>
      <c r="V473" s="1"/>
      <c r="W473" s="1"/>
      <c r="X473" s="1"/>
      <c r="Y473" s="1"/>
      <c r="Z473" s="1"/>
      <c r="AA473" s="1"/>
      <c r="AB473" s="1"/>
      <c r="AC473" s="1"/>
      <c r="AD473" s="1"/>
      <c r="AE473" s="13"/>
    </row>
    <row r="474" spans="2:31" ht="16.5" customHeight="1" thickBot="1">
      <c r="B474" s="103"/>
      <c r="C474" s="318"/>
      <c r="D474" s="514"/>
      <c r="E474" s="515"/>
      <c r="F474" s="515"/>
      <c r="G474" s="515"/>
      <c r="H474" s="515"/>
      <c r="I474" s="515"/>
      <c r="J474" s="515"/>
      <c r="K474" s="515"/>
      <c r="L474" s="515"/>
      <c r="M474" s="515"/>
      <c r="N474" s="515"/>
      <c r="O474" s="516"/>
      <c r="T474" s="14"/>
      <c r="U474" s="1"/>
      <c r="V474" s="1"/>
      <c r="W474" s="1"/>
      <c r="X474" s="1"/>
      <c r="Y474" s="1"/>
      <c r="Z474" s="1"/>
      <c r="AA474" s="1"/>
      <c r="AB474" s="1"/>
      <c r="AC474" s="1"/>
      <c r="AD474" s="1"/>
      <c r="AE474" s="13"/>
    </row>
    <row r="475" spans="2:31" ht="16.5" customHeight="1">
      <c r="B475" s="5"/>
      <c r="C475" s="5"/>
      <c r="D475" s="566" t="str">
        <f>IF(AND(AB446=TRUE,AB445=FALSE,AB431&gt;1500),"L'aide est plafonné à 1 500 €, Si l'entreprise a subi une perte de moins de 50 % sur la période en comprenant le CA réalisé sur les activités de vente à distance avec retrait en magasin ou livraison sont à prendre en compte pour le calcul de la perte","")</f>
        <v/>
      </c>
      <c r="E475" s="566"/>
      <c r="F475" s="566"/>
      <c r="G475" s="566"/>
      <c r="H475" s="566"/>
      <c r="I475" s="566"/>
      <c r="J475" s="566"/>
      <c r="K475" s="566"/>
      <c r="L475" s="566"/>
      <c r="M475" s="566"/>
      <c r="N475" s="566"/>
      <c r="O475" s="566"/>
      <c r="P475" s="177"/>
      <c r="Q475" s="177"/>
      <c r="T475" s="14"/>
      <c r="U475" s="1"/>
      <c r="V475" s="1"/>
      <c r="W475" s="1"/>
      <c r="X475" s="1"/>
      <c r="Y475" s="1"/>
      <c r="Z475" s="1"/>
      <c r="AA475" s="1"/>
      <c r="AB475" s="1"/>
      <c r="AC475" s="1"/>
      <c r="AD475" s="1"/>
      <c r="AE475" s="13"/>
    </row>
    <row r="476" spans="2:31">
      <c r="B476" s="5"/>
      <c r="C476" s="5"/>
      <c r="D476" s="566"/>
      <c r="E476" s="566"/>
      <c r="F476" s="566"/>
      <c r="G476" s="566"/>
      <c r="H476" s="566"/>
      <c r="I476" s="566"/>
      <c r="J476" s="566"/>
      <c r="K476" s="566"/>
      <c r="L476" s="566"/>
      <c r="M476" s="566"/>
      <c r="N476" s="566"/>
      <c r="O476" s="566"/>
      <c r="P476" s="177"/>
      <c r="Q476" s="177"/>
      <c r="T476" s="14"/>
      <c r="U476" s="1"/>
      <c r="V476" s="1"/>
      <c r="W476" s="1"/>
      <c r="X476" s="1"/>
      <c r="Y476" s="1"/>
      <c r="Z476" s="1"/>
      <c r="AA476" s="1"/>
      <c r="AB476" s="1"/>
      <c r="AC476" s="1"/>
      <c r="AD476" s="1"/>
      <c r="AE476" s="13"/>
    </row>
    <row r="477" spans="2:31">
      <c r="D477" s="177"/>
      <c r="E477" s="177"/>
      <c r="F477" s="177"/>
      <c r="G477" s="177"/>
      <c r="H477" s="177"/>
      <c r="I477" s="177"/>
      <c r="J477" s="177"/>
      <c r="K477" s="177"/>
      <c r="L477" s="177"/>
      <c r="M477" s="177"/>
      <c r="N477" s="177"/>
      <c r="O477" s="177"/>
      <c r="P477" s="175"/>
      <c r="Q477" s="175"/>
      <c r="T477" s="14"/>
      <c r="U477" s="1"/>
      <c r="V477" s="1"/>
      <c r="W477" s="1"/>
      <c r="X477" s="1"/>
      <c r="Y477" s="1"/>
      <c r="Z477" s="1"/>
      <c r="AA477" s="1"/>
      <c r="AB477" s="1"/>
      <c r="AC477" s="1"/>
      <c r="AD477" s="1"/>
      <c r="AE477" s="13"/>
    </row>
    <row r="478" spans="2:31" ht="16.5" thickBot="1">
      <c r="B478" s="220"/>
      <c r="C478" s="488" t="s">
        <v>470</v>
      </c>
      <c r="D478" s="488"/>
      <c r="E478" s="488"/>
      <c r="F478" s="488"/>
      <c r="G478" s="488"/>
      <c r="H478" s="488"/>
      <c r="I478" s="221"/>
      <c r="J478" s="221"/>
      <c r="K478" s="221"/>
      <c r="L478" s="221"/>
      <c r="M478" s="221"/>
      <c r="N478" s="221"/>
      <c r="O478" s="221"/>
      <c r="T478" s="16"/>
      <c r="U478" s="11"/>
      <c r="V478" s="11"/>
      <c r="W478" s="11"/>
      <c r="X478" s="11"/>
      <c r="Y478" s="11"/>
      <c r="Z478" s="11"/>
      <c r="AA478" s="11"/>
      <c r="AB478" s="11"/>
      <c r="AC478" s="11"/>
      <c r="AD478" s="11"/>
      <c r="AE478" s="12"/>
    </row>
    <row r="479" spans="2:31" ht="15" customHeight="1">
      <c r="B479" s="63"/>
      <c r="C479" s="24"/>
      <c r="D479" s="24"/>
      <c r="E479" s="24"/>
      <c r="F479" s="24"/>
      <c r="G479" s="24"/>
      <c r="H479" s="63"/>
      <c r="I479" s="1"/>
      <c r="J479" s="1"/>
      <c r="K479" s="1"/>
      <c r="L479" s="1"/>
      <c r="M479" s="1"/>
      <c r="N479" s="1"/>
      <c r="O479" s="1"/>
      <c r="T479" s="14"/>
      <c r="U479" s="1"/>
      <c r="V479" s="1"/>
      <c r="W479" s="1"/>
      <c r="X479" s="1"/>
      <c r="Y479" s="1"/>
      <c r="Z479" s="1"/>
      <c r="AA479" s="1"/>
      <c r="AB479" s="1"/>
      <c r="AC479" s="1"/>
      <c r="AD479" s="1"/>
      <c r="AE479" s="13"/>
    </row>
    <row r="480" spans="2:31" ht="15" customHeight="1">
      <c r="B480" s="103"/>
      <c r="C480" s="489" t="s">
        <v>476</v>
      </c>
      <c r="D480" s="489"/>
      <c r="E480" s="489"/>
      <c r="F480" s="489"/>
      <c r="G480" s="489"/>
      <c r="H480" s="489"/>
      <c r="I480" s="489"/>
      <c r="J480" s="489"/>
      <c r="K480" s="489"/>
      <c r="L480" s="489"/>
      <c r="M480" s="489"/>
      <c r="N480" s="489"/>
      <c r="O480" s="489"/>
      <c r="P480" s="1"/>
      <c r="T480" s="25"/>
      <c r="U480" s="490" t="s">
        <v>20</v>
      </c>
      <c r="V480" s="490"/>
      <c r="W480" s="490"/>
      <c r="X480" s="1"/>
      <c r="Y480" s="390" t="s">
        <v>6</v>
      </c>
      <c r="Z480" s="390"/>
      <c r="AA480" s="390"/>
      <c r="AB480" s="390" t="s">
        <v>23</v>
      </c>
      <c r="AC480" s="390"/>
      <c r="AD480" s="390"/>
      <c r="AE480" s="26" t="s">
        <v>24</v>
      </c>
    </row>
    <row r="481" spans="2:31" ht="15.75" customHeight="1">
      <c r="B481" s="103"/>
      <c r="C481" s="387"/>
      <c r="D481" s="60" t="s">
        <v>435</v>
      </c>
      <c r="E481" s="387"/>
      <c r="F481" s="387"/>
      <c r="G481" s="387"/>
      <c r="H481" s="387"/>
      <c r="I481" s="387"/>
      <c r="J481" s="387"/>
      <c r="K481" s="387"/>
      <c r="L481" s="387"/>
      <c r="M481" s="387"/>
      <c r="N481" s="387"/>
      <c r="O481" s="387"/>
      <c r="P481" s="1"/>
      <c r="T481" s="25"/>
      <c r="U481" s="390"/>
      <c r="V481" s="390"/>
      <c r="W481" s="390"/>
      <c r="X481" s="1"/>
      <c r="Y481" s="390"/>
      <c r="Z481" s="390"/>
      <c r="AA481" s="390"/>
      <c r="AB481" s="390"/>
      <c r="AC481" s="390"/>
      <c r="AD481" s="390"/>
      <c r="AE481" s="26"/>
    </row>
    <row r="482" spans="2:31" ht="16.5" hidden="1" thickBot="1">
      <c r="B482" s="103"/>
      <c r="C482" s="387"/>
      <c r="D482" s="60"/>
      <c r="E482" s="387"/>
      <c r="F482" s="387"/>
      <c r="G482" s="387"/>
      <c r="H482" s="387"/>
      <c r="I482" s="387"/>
      <c r="J482" s="387"/>
      <c r="K482" s="387"/>
      <c r="L482" s="387"/>
      <c r="M482" s="387"/>
      <c r="N482" s="387"/>
      <c r="O482" s="387"/>
      <c r="P482" s="1"/>
      <c r="T482" s="491" t="s">
        <v>475</v>
      </c>
      <c r="U482" s="490"/>
      <c r="V482" s="490"/>
      <c r="W482" s="490"/>
      <c r="X482" s="1"/>
      <c r="Y482" s="7">
        <f>'Mon Entreprise'!I132</f>
        <v>0</v>
      </c>
      <c r="Z482" s="133"/>
      <c r="AA482" s="21"/>
      <c r="AB482" s="7">
        <f>IF('Mon Entreprise'!I132-'Mon Entreprise'!M132&lt;0,0,'Mon Entreprise'!I132-'Mon Entreprise'!M132)</f>
        <v>0</v>
      </c>
      <c r="AC482" s="13"/>
      <c r="AD482" s="1"/>
      <c r="AE482" s="27">
        <f>IFERROR(1-'Mon Entreprise'!M132/'Mon Entreprise'!I132,0)</f>
        <v>0</v>
      </c>
    </row>
    <row r="483" spans="2:31" ht="15.75" hidden="1">
      <c r="B483" s="103"/>
      <c r="C483" s="387"/>
      <c r="D483" s="492" t="str">
        <f>IFERROR(IF(AND(AB524=0,AB525=0,AB526=0),"Vous ne pouvez pas bénéficier du fonds de solidarité pour le mois de Juin 2021",IF(AND(AB526&gt;AB525,AB526&gt;AB524),"Votre entreprise peut bénéficier d'une aide de "&amp;AB526&amp;" €, au titre d'une fermeture Administrative avec une perte de 20 % de CA",IF(AB525&gt;AB524,"Votre entreprise peut bénéficier d'une aide de "&amp;AB525&amp;" €, au titre des entreprises ayant leur activité mentionnée en annexe 1, ou en annexe 2, avec une perte de CA "&amp;"d'au moins 80 % entre le 15/03/2020 et le 15/05/2020 ou au mois de Novembre 2020 ou une perte de 10 % entre 2019 et 2020, ou domicilié dans les îles d'outre-mer","Votre entreprise peut bénéficier d'une aide de "&amp;AB524&amp;" €, au titre d'une fermeture administrative d'au moins 10 jours et d'une perte d'au-moins 50 % de votre CA en Juin 2021"))),"Vous n'avez pas indiqué de chiffre d'affaires de référence")</f>
        <v>Vous ne pouvez pas bénéficier du fonds de solidarité pour le mois de Juin 2021</v>
      </c>
      <c r="E483" s="493"/>
      <c r="F483" s="493"/>
      <c r="G483" s="493"/>
      <c r="H483" s="493"/>
      <c r="I483" s="493"/>
      <c r="J483" s="493"/>
      <c r="K483" s="493"/>
      <c r="L483" s="493"/>
      <c r="M483" s="493"/>
      <c r="N483" s="493"/>
      <c r="O483" s="494"/>
      <c r="P483" s="1"/>
      <c r="T483" s="491" t="s">
        <v>25</v>
      </c>
      <c r="U483" s="490"/>
      <c r="V483" s="490"/>
      <c r="W483" s="490"/>
      <c r="X483" s="1"/>
      <c r="Y483" s="7">
        <f>'Mon Entreprise'!I98</f>
        <v>0</v>
      </c>
      <c r="Z483" s="133"/>
      <c r="AA483" s="21"/>
      <c r="AB483" s="7">
        <f>IF('Mon Entreprise'!I98-'Mon Entreprise'!M132&lt;0,0,'Mon Entreprise'!I98-'Mon Entreprise'!M132)</f>
        <v>0</v>
      </c>
      <c r="AC483" s="36"/>
      <c r="AD483" s="1"/>
      <c r="AE483" s="27">
        <f>IFERROR(1-'Mon Entreprise'!M132/'Mon Entreprise'!I98,0)</f>
        <v>0</v>
      </c>
    </row>
    <row r="484" spans="2:31" ht="15.75" hidden="1" customHeight="1">
      <c r="B484" s="103"/>
      <c r="C484" s="387"/>
      <c r="D484" s="495"/>
      <c r="E484" s="496"/>
      <c r="F484" s="496"/>
      <c r="G484" s="496"/>
      <c r="H484" s="496"/>
      <c r="I484" s="496"/>
      <c r="J484" s="496"/>
      <c r="K484" s="496"/>
      <c r="L484" s="496"/>
      <c r="M484" s="496"/>
      <c r="N484" s="496"/>
      <c r="O484" s="497"/>
      <c r="P484" s="1"/>
      <c r="T484" s="501" t="s">
        <v>22</v>
      </c>
      <c r="U484" s="502"/>
      <c r="V484" s="502"/>
      <c r="W484" s="502"/>
      <c r="X484" s="139"/>
      <c r="Y484" s="140" t="str">
        <f>IF('Mon Entreprise'!I148="","NC",'Mon Entreprise'!I148)</f>
        <v>NC</v>
      </c>
      <c r="Z484" s="191"/>
      <c r="AA484" s="192"/>
      <c r="AB484" s="143" t="str">
        <f>IFERROR(IF('Mon Entreprise'!I148-'Mon Entreprise'!M132&lt;0,0,'Mon Entreprise'!I148-'Mon Entreprise'!M132),"NC")</f>
        <v>NC</v>
      </c>
      <c r="AC484" s="193"/>
      <c r="AD484" s="139"/>
      <c r="AE484" s="146" t="str">
        <f>IFERROR(1-'Mon Entreprise'!M132/'Mon Entreprise'!I148,"NC")</f>
        <v>NC</v>
      </c>
    </row>
    <row r="485" spans="2:31" ht="15.75" hidden="1" customHeight="1">
      <c r="B485" s="103"/>
      <c r="C485" s="387"/>
      <c r="D485" s="495"/>
      <c r="E485" s="496"/>
      <c r="F485" s="496"/>
      <c r="G485" s="496"/>
      <c r="H485" s="496"/>
      <c r="I485" s="496"/>
      <c r="J485" s="496"/>
      <c r="K485" s="496"/>
      <c r="L485" s="496"/>
      <c r="M485" s="496"/>
      <c r="N485" s="496"/>
      <c r="O485" s="497"/>
      <c r="P485" s="1"/>
      <c r="T485" s="388"/>
      <c r="U485" s="385"/>
      <c r="V485" s="385"/>
      <c r="W485" s="385"/>
      <c r="X485" s="139"/>
      <c r="Y485" s="140"/>
      <c r="Z485" s="141"/>
      <c r="AA485" s="192"/>
      <c r="AB485" s="143"/>
      <c r="AC485" s="385"/>
      <c r="AD485" s="139"/>
      <c r="AE485" s="146"/>
    </row>
    <row r="486" spans="2:31" ht="15.75" hidden="1" customHeight="1">
      <c r="B486" s="103"/>
      <c r="C486" s="387"/>
      <c r="D486" s="495"/>
      <c r="E486" s="496"/>
      <c r="F486" s="496"/>
      <c r="G486" s="496"/>
      <c r="H486" s="496"/>
      <c r="I486" s="496"/>
      <c r="J486" s="496"/>
      <c r="K486" s="496"/>
      <c r="L486" s="496"/>
      <c r="M486" s="496"/>
      <c r="N486" s="496"/>
      <c r="O486" s="497"/>
      <c r="P486" s="1"/>
      <c r="T486" s="14"/>
      <c r="U486" s="1"/>
      <c r="V486" s="1"/>
      <c r="W486" s="1"/>
      <c r="X486" s="1"/>
      <c r="Y486" s="1"/>
      <c r="Z486" s="1"/>
      <c r="AA486" s="1"/>
      <c r="AB486" s="1"/>
      <c r="AC486" s="1"/>
      <c r="AD486" s="1"/>
      <c r="AE486" s="13"/>
    </row>
    <row r="487" spans="2:31" ht="15.75" hidden="1" customHeight="1">
      <c r="B487" s="103"/>
      <c r="C487" s="387"/>
      <c r="D487" s="495"/>
      <c r="E487" s="496"/>
      <c r="F487" s="496"/>
      <c r="G487" s="496"/>
      <c r="H487" s="496"/>
      <c r="I487" s="496"/>
      <c r="J487" s="496"/>
      <c r="K487" s="496"/>
      <c r="L487" s="496"/>
      <c r="M487" s="496"/>
      <c r="N487" s="496"/>
      <c r="O487" s="497"/>
      <c r="P487" s="1"/>
      <c r="T487" s="14"/>
      <c r="AC487" s="1"/>
      <c r="AD487" s="1"/>
      <c r="AE487" s="13"/>
    </row>
    <row r="488" spans="2:31" ht="15.75" hidden="1" customHeight="1" thickBot="1">
      <c r="B488" s="103"/>
      <c r="C488" s="387"/>
      <c r="D488" s="498"/>
      <c r="E488" s="499"/>
      <c r="F488" s="499"/>
      <c r="G488" s="499"/>
      <c r="H488" s="499"/>
      <c r="I488" s="499"/>
      <c r="J488" s="499"/>
      <c r="K488" s="499"/>
      <c r="L488" s="499"/>
      <c r="M488" s="499"/>
      <c r="N488" s="499"/>
      <c r="O488" s="500"/>
      <c r="P488" s="1"/>
      <c r="T488" s="14"/>
      <c r="AC488" s="1"/>
      <c r="AD488" s="1"/>
      <c r="AE488" s="13"/>
    </row>
    <row r="489" spans="2:31" ht="16.5" hidden="1" customHeight="1">
      <c r="B489" s="103"/>
      <c r="C489" s="387"/>
      <c r="D489" s="503" t="s">
        <v>494</v>
      </c>
      <c r="E489" s="503"/>
      <c r="F489" s="503"/>
      <c r="G489" s="503"/>
      <c r="H489" s="503"/>
      <c r="I489" s="503"/>
      <c r="J489" s="503"/>
      <c r="K489" s="503"/>
      <c r="L489" s="503"/>
      <c r="M489" s="503"/>
      <c r="N489" s="503"/>
      <c r="O489" s="503"/>
      <c r="P489" s="1"/>
      <c r="T489" s="14"/>
      <c r="AC489" s="1"/>
      <c r="AD489" s="1"/>
      <c r="AE489" s="13"/>
    </row>
    <row r="490" spans="2:31" ht="16.5" hidden="1" customHeight="1">
      <c r="B490" s="103"/>
      <c r="C490" s="387"/>
      <c r="D490" s="504"/>
      <c r="E490" s="504"/>
      <c r="F490" s="504"/>
      <c r="G490" s="504"/>
      <c r="H490" s="504"/>
      <c r="I490" s="504"/>
      <c r="J490" s="504"/>
      <c r="K490" s="504"/>
      <c r="L490" s="504"/>
      <c r="M490" s="504"/>
      <c r="N490" s="504"/>
      <c r="O490" s="504"/>
      <c r="P490" s="1"/>
      <c r="T490" s="14"/>
      <c r="AC490" s="1"/>
      <c r="AD490" s="1"/>
      <c r="AE490" s="13"/>
    </row>
    <row r="491" spans="2:31" ht="15.75">
      <c r="B491" s="103"/>
      <c r="C491" s="78"/>
      <c r="D491" s="78"/>
      <c r="E491" s="78"/>
      <c r="F491" s="78"/>
      <c r="G491" s="78"/>
      <c r="H491" s="78"/>
      <c r="I491" s="78"/>
      <c r="J491" s="78"/>
      <c r="K491" s="78"/>
      <c r="L491" s="78"/>
      <c r="M491" s="78"/>
      <c r="N491" s="78"/>
      <c r="O491" s="78"/>
      <c r="P491" s="1"/>
      <c r="T491" s="14"/>
      <c r="U491" s="1"/>
      <c r="V491" s="1"/>
      <c r="W491" s="1"/>
      <c r="X491" s="1"/>
      <c r="Y491" s="1"/>
      <c r="Z491" s="1"/>
      <c r="AA491" s="1"/>
      <c r="AB491" s="1"/>
      <c r="AC491" s="1"/>
      <c r="AD491" s="1"/>
      <c r="AE491" s="13"/>
    </row>
    <row r="492" spans="2:31" ht="15.75">
      <c r="B492" s="103"/>
      <c r="C492" s="387"/>
      <c r="D492" s="60"/>
      <c r="E492" s="387"/>
      <c r="F492" s="387"/>
      <c r="G492" s="387"/>
      <c r="H492" s="387"/>
      <c r="I492" s="387"/>
      <c r="J492" s="387"/>
      <c r="K492" s="387"/>
      <c r="L492" s="387"/>
      <c r="M492" s="387"/>
      <c r="N492" s="387"/>
      <c r="O492" s="387"/>
      <c r="P492" s="1"/>
      <c r="T492" s="14"/>
      <c r="U492" s="1"/>
      <c r="V492" s="1"/>
      <c r="W492" s="1"/>
      <c r="X492" s="1"/>
      <c r="Y492" s="1"/>
      <c r="Z492" s="1"/>
      <c r="AA492" s="1"/>
      <c r="AB492" s="1"/>
      <c r="AC492" s="1"/>
      <c r="AD492" s="1"/>
      <c r="AE492" s="13"/>
    </row>
    <row r="493" spans="2:31" ht="15.75">
      <c r="B493" s="103"/>
      <c r="C493" s="505" t="s">
        <v>485</v>
      </c>
      <c r="D493" s="505"/>
      <c r="E493" s="505"/>
      <c r="F493" s="505"/>
      <c r="G493" s="505"/>
      <c r="H493" s="505"/>
      <c r="I493" s="505"/>
      <c r="J493" s="505"/>
      <c r="K493" s="505"/>
      <c r="L493" s="505"/>
      <c r="M493" s="505"/>
      <c r="N493" s="505"/>
      <c r="O493" s="505"/>
      <c r="P493" s="1"/>
      <c r="T493" s="14"/>
      <c r="U493" s="1"/>
      <c r="V493" s="1"/>
      <c r="W493" s="1"/>
      <c r="X493" s="1"/>
      <c r="Y493" s="1"/>
      <c r="Z493" s="1"/>
      <c r="AA493" s="1"/>
      <c r="AB493" s="1"/>
      <c r="AC493" s="1"/>
      <c r="AD493" s="1"/>
      <c r="AE493" s="13"/>
    </row>
    <row r="494" spans="2:31" ht="15.75">
      <c r="B494" s="103"/>
      <c r="C494" s="505"/>
      <c r="D494" s="505"/>
      <c r="E494" s="505"/>
      <c r="F494" s="505"/>
      <c r="G494" s="505"/>
      <c r="H494" s="505"/>
      <c r="I494" s="505"/>
      <c r="J494" s="505"/>
      <c r="K494" s="505"/>
      <c r="L494" s="505"/>
      <c r="M494" s="505"/>
      <c r="N494" s="505"/>
      <c r="O494" s="505"/>
      <c r="P494" s="1"/>
      <c r="T494" s="14"/>
      <c r="U494" s="506" t="s">
        <v>72</v>
      </c>
      <c r="V494" s="506"/>
      <c r="W494" s="506"/>
      <c r="X494" s="506"/>
      <c r="Y494" s="506"/>
      <c r="Z494" s="1"/>
      <c r="AA494" s="14"/>
      <c r="AB494" s="385" t="str">
        <f>IF('Mon Entreprise'!K8&lt;=Annexes!R15,"Oui","Non")</f>
        <v>Oui</v>
      </c>
      <c r="AC494" s="1"/>
      <c r="AD494" s="1"/>
      <c r="AE494" s="13"/>
    </row>
    <row r="495" spans="2:31" ht="15.75">
      <c r="B495" s="168"/>
      <c r="C495" s="387"/>
      <c r="D495" s="60" t="str">
        <f>IFERROR(IF('Mon Entreprise'!K8&gt;=Annexes!O20,IF(AB482&gt;=AB484,"Le CA de référence est celui de Juin 2019, soit une perte de "&amp;ROUND(AB482,0)&amp;" €"&amp;" ==&gt; "&amp;ROUND(AE482*100,0)&amp;" %","Le CA de référence est celui de la création, soit une perte de "&amp;ROUND(AB484,0)&amp;" €"&amp;" ==&gt; "&amp;ROUND(AE484*100,0)&amp;" %"),IF(AB482&gt;=AB483,"Le CA de référence est celui de Juin 2019, soit une perte de "&amp;ROUND(AB482,0)&amp;" €"&amp;" ==&gt; "&amp;ROUND(AE482*100,0)&amp;" %","Le CA de référence est celui de l'exercice 2019, soit une perte de "&amp;ROUND(AB483,0)&amp;" €"&amp;" ==&gt; "&amp;ROUND(AE483*100,0)&amp;" %")),"")</f>
        <v>Le CA de référence est celui de Juin 2019, soit une perte de 0 € ==&gt; 0 %</v>
      </c>
      <c r="E495" s="387"/>
      <c r="F495" s="387"/>
      <c r="G495" s="387"/>
      <c r="H495" s="387"/>
      <c r="I495" s="387"/>
      <c r="J495" s="387"/>
      <c r="K495" s="387"/>
      <c r="L495" s="387"/>
      <c r="M495" s="387"/>
      <c r="N495" s="387"/>
      <c r="O495" s="387"/>
      <c r="P495" s="1"/>
      <c r="T495" s="14"/>
      <c r="U495" s="386"/>
      <c r="V495" s="506" t="s">
        <v>393</v>
      </c>
      <c r="W495" s="506"/>
      <c r="X495" s="506"/>
      <c r="Y495" s="506"/>
      <c r="Z495" s="1"/>
      <c r="AA495" s="14"/>
      <c r="AB495" s="385">
        <f>IF('Mon Entreprise'!K8&gt;=Annexes!O20,IF(Y482&gt;=Y484,Y482,Y484),IF(Y482&gt;=Y483,Y482,Y483))</f>
        <v>0</v>
      </c>
      <c r="AC495" s="1"/>
      <c r="AD495" s="1"/>
      <c r="AE495" s="13"/>
    </row>
    <row r="496" spans="2:31" ht="15.75">
      <c r="B496" s="168"/>
      <c r="C496" s="387"/>
      <c r="D496" s="507" t="str">
        <f>IFERROR(IF('Mon Entreprise'!K8&gt;=Annexes!O20,"",IF(AB482&lt;AB483,"A noter qu'il convient de choisir l'option retenue par l'entreprise lors de sa demande au titre du mois Février 2021, ou a défaut celui du mois de Mars, d'Avril, ou Mai 2021, si le CA de référence était celui de février 2019, il convient de prendre"&amp;" celui de Juin 2019 (...), soit "&amp;ROUND(AB482,0)&amp;" €"&amp;" ==&gt; "&amp;ROUND(AE482*100,0)&amp;" %","A noter qu'il convient de choisir l'option retenue par l'entreprise lors de sa demande au titre du mois Février 2021, ou "&amp;"a défaut celui du mois de Mars, d'Avril, ou Mai 2021, si le CA de référence était celui de l'exercice 2019, il convient de prendre celui de l'exercie 2019, soit une perte de "&amp;ROUND(AB483,0)&amp;" €"&amp;" ==&gt; "&amp;ROUND(AE483*100,0)&amp;" %")),"")</f>
        <v>A noter qu'il convient de choisir l'option retenue par l'entreprise lors de sa demande au titre du mois Février 2021, ou a défaut celui du mois de Mars, d'Avril, ou Mai 2021, si le CA de référence était celui de l'exercice 2019, il convient de prendre celui de l'exercie 2019, soit une perte de 0 € ==&gt; 0 %</v>
      </c>
      <c r="E496" s="507"/>
      <c r="F496" s="507"/>
      <c r="G496" s="507"/>
      <c r="H496" s="507"/>
      <c r="I496" s="507"/>
      <c r="J496" s="507"/>
      <c r="K496" s="507"/>
      <c r="L496" s="507"/>
      <c r="M496" s="507"/>
      <c r="N496" s="507"/>
      <c r="O496" s="507"/>
      <c r="P496" s="1"/>
      <c r="T496" s="14"/>
      <c r="U496" s="506" t="s">
        <v>84</v>
      </c>
      <c r="V496" s="506"/>
      <c r="W496" s="506"/>
      <c r="X496" s="506"/>
      <c r="Y496" s="506"/>
      <c r="Z496" s="1"/>
      <c r="AA496" s="14"/>
      <c r="AB496" s="381">
        <f>IF('Mon Entreprise'!K8&gt;=Annexes!O20,IF(AB482&gt;=AB484,AB482,AB484),IF(AB482&gt;=AB483,AB482,AB483))</f>
        <v>0</v>
      </c>
      <c r="AC496" s="1"/>
      <c r="AD496" s="1"/>
      <c r="AE496" s="13"/>
    </row>
    <row r="497" spans="1:31" ht="15.75">
      <c r="B497" s="168"/>
      <c r="C497" s="387"/>
      <c r="D497" s="507"/>
      <c r="E497" s="507"/>
      <c r="F497" s="507"/>
      <c r="G497" s="507"/>
      <c r="H497" s="507"/>
      <c r="I497" s="507"/>
      <c r="J497" s="507"/>
      <c r="K497" s="507"/>
      <c r="L497" s="507"/>
      <c r="M497" s="507"/>
      <c r="N497" s="507"/>
      <c r="O497" s="507"/>
      <c r="P497" s="1"/>
      <c r="T497" s="14"/>
      <c r="U497" s="506" t="s">
        <v>85</v>
      </c>
      <c r="V497" s="506"/>
      <c r="W497" s="506"/>
      <c r="X497" s="506"/>
      <c r="Y497" s="506"/>
      <c r="Z497" s="1"/>
      <c r="AA497" s="14"/>
      <c r="AB497" s="19">
        <f>IF('Mon Entreprise'!K8&gt;=Annexes!O20,IF(AB482&gt;=AB484,AE482,AE484),IF(AB482&gt;=AB483,AE482,AE483))</f>
        <v>0</v>
      </c>
      <c r="AC497" s="1"/>
      <c r="AD497" s="1"/>
      <c r="AE497" s="13"/>
    </row>
    <row r="498" spans="1:31" ht="16.5" thickBot="1">
      <c r="B498" s="103"/>
      <c r="C498" s="387"/>
      <c r="D498" s="60"/>
      <c r="E498" s="387"/>
      <c r="F498" s="387"/>
      <c r="G498" s="387"/>
      <c r="H498" s="387"/>
      <c r="I498" s="387"/>
      <c r="J498" s="387"/>
      <c r="K498" s="387"/>
      <c r="L498" s="387"/>
      <c r="M498" s="387"/>
      <c r="N498" s="387"/>
      <c r="O498" s="387"/>
      <c r="P498" s="1"/>
      <c r="T498" s="14"/>
      <c r="U498" s="1"/>
      <c r="V498" s="1"/>
      <c r="W498" s="1"/>
      <c r="X498" s="1"/>
      <c r="Y498" s="1"/>
      <c r="Z498" s="1"/>
      <c r="AA498" s="1"/>
      <c r="AB498" s="1"/>
      <c r="AC498" s="1"/>
      <c r="AD498" s="1"/>
      <c r="AE498" s="13"/>
    </row>
    <row r="499" spans="1:31" ht="15.75">
      <c r="B499" s="168"/>
      <c r="C499" s="387"/>
      <c r="D499" s="508" t="str">
        <f>IFERROR(IF(AB494="Non","Vous avez débuté votre activité après le 31 Janvier 2020, vous ne pouvez donc pas bénéficier de cette aide",IF(AND(AB512=TRUE,AB497&gt;=0.5),IF(AB496&gt;Annexes!O5,"Dans votre cas, l'aide est Plafonnée, à "&amp;Annexes!O5&amp;" € pour le mois de Juin","Vous pouvez bénéficier, au titre de cette aide, d'un montant de "&amp;ROUND(AB496,0)&amp;" € pour le mois de Juin"),"L'entreprise n'a pas une perte d'au moins 50 % en Juin 2021 ou n'a pas été en fermeture Administrative au moins 10 Jours")),"Vous n'avez pas indiqué de chiffre d'affaires de référence")</f>
        <v>L'entreprise n'a pas une perte d'au moins 50 % en Juin 2021 ou n'a pas été en fermeture Administrative au moins 10 Jours</v>
      </c>
      <c r="E499" s="509"/>
      <c r="F499" s="509"/>
      <c r="G499" s="509"/>
      <c r="H499" s="509"/>
      <c r="I499" s="509"/>
      <c r="J499" s="509"/>
      <c r="K499" s="509"/>
      <c r="L499" s="509"/>
      <c r="M499" s="509"/>
      <c r="N499" s="509"/>
      <c r="O499" s="510"/>
      <c r="P499" s="1"/>
      <c r="T499" s="14"/>
      <c r="U499" s="1"/>
      <c r="V499" s="1"/>
      <c r="W499" s="1"/>
      <c r="X499" s="1"/>
      <c r="Y499" s="1"/>
      <c r="Z499" s="1"/>
      <c r="AA499" s="1"/>
      <c r="AB499" s="1"/>
      <c r="AC499" s="1"/>
      <c r="AD499" s="1"/>
      <c r="AE499" s="13"/>
    </row>
    <row r="500" spans="1:31" ht="15.75" customHeight="1">
      <c r="B500" s="168"/>
      <c r="C500" s="387"/>
      <c r="D500" s="511"/>
      <c r="E500" s="512"/>
      <c r="F500" s="512"/>
      <c r="G500" s="512"/>
      <c r="H500" s="512"/>
      <c r="I500" s="512"/>
      <c r="J500" s="512"/>
      <c r="K500" s="512"/>
      <c r="L500" s="512"/>
      <c r="M500" s="512"/>
      <c r="N500" s="512"/>
      <c r="O500" s="513"/>
      <c r="P500" s="1"/>
      <c r="T500" s="14"/>
      <c r="U500" s="1"/>
      <c r="V500" s="1"/>
      <c r="W500" s="1"/>
      <c r="X500" s="1"/>
      <c r="Y500" s="1"/>
      <c r="Z500" s="1"/>
      <c r="AA500" s="1"/>
      <c r="AB500" s="1"/>
      <c r="AC500" s="1"/>
      <c r="AD500" s="1"/>
      <c r="AE500" s="13"/>
    </row>
    <row r="501" spans="1:31" ht="15.75" customHeight="1">
      <c r="B501" s="103"/>
      <c r="C501" s="387"/>
      <c r="D501" s="511"/>
      <c r="E501" s="512"/>
      <c r="F501" s="512"/>
      <c r="G501" s="512"/>
      <c r="H501" s="512"/>
      <c r="I501" s="512"/>
      <c r="J501" s="512"/>
      <c r="K501" s="512"/>
      <c r="L501" s="512"/>
      <c r="M501" s="512"/>
      <c r="N501" s="512"/>
      <c r="O501" s="513"/>
      <c r="P501" s="1"/>
      <c r="T501" s="14"/>
      <c r="U501" s="1"/>
      <c r="V501" s="1"/>
      <c r="W501" s="1"/>
      <c r="X501" s="1"/>
      <c r="Y501" s="1"/>
      <c r="Z501" s="1"/>
      <c r="AA501" s="1"/>
      <c r="AB501" s="1"/>
      <c r="AC501" s="1"/>
      <c r="AD501" s="1"/>
      <c r="AE501" s="13"/>
    </row>
    <row r="502" spans="1:31" ht="15.75" customHeight="1" thickBot="1">
      <c r="B502" s="103"/>
      <c r="C502" s="387"/>
      <c r="D502" s="514"/>
      <c r="E502" s="515"/>
      <c r="F502" s="515"/>
      <c r="G502" s="515"/>
      <c r="H502" s="515"/>
      <c r="I502" s="515"/>
      <c r="J502" s="515"/>
      <c r="K502" s="515"/>
      <c r="L502" s="515"/>
      <c r="M502" s="515"/>
      <c r="N502" s="515"/>
      <c r="O502" s="516"/>
      <c r="P502" s="1"/>
      <c r="T502" s="14"/>
      <c r="U502" s="1"/>
      <c r="V502" s="1"/>
      <c r="W502" s="1"/>
      <c r="X502" s="1"/>
      <c r="Y502" s="1"/>
      <c r="Z502" s="1"/>
      <c r="AA502" s="1"/>
      <c r="AB502" s="1"/>
      <c r="AC502" s="1"/>
      <c r="AD502" s="1"/>
      <c r="AE502" s="13"/>
    </row>
    <row r="503" spans="1:31" ht="16.5" customHeight="1">
      <c r="B503" s="103"/>
      <c r="C503" s="169"/>
      <c r="D503" s="517"/>
      <c r="E503" s="517"/>
      <c r="F503" s="517"/>
      <c r="G503" s="517"/>
      <c r="H503" s="517"/>
      <c r="I503" s="517"/>
      <c r="J503" s="517"/>
      <c r="K503" s="517"/>
      <c r="L503" s="517"/>
      <c r="M503" s="517"/>
      <c r="N503" s="517"/>
      <c r="O503" s="517"/>
      <c r="P503" s="1"/>
      <c r="T503" s="518" t="s">
        <v>4</v>
      </c>
      <c r="U503" s="519"/>
      <c r="V503" s="519"/>
      <c r="W503" s="519"/>
      <c r="X503" s="519"/>
      <c r="Y503" s="519"/>
      <c r="Z503" s="139"/>
      <c r="AA503" s="145"/>
      <c r="AB503" s="194">
        <f>IFERROR(IF('Mon Entreprise'!K8&gt;=Annexes!Q18,0,1-'Mon Entreprise'!M118/2/AB495),0)</f>
        <v>0</v>
      </c>
      <c r="AC503" s="1"/>
      <c r="AD503" s="1"/>
      <c r="AE503" s="13"/>
    </row>
    <row r="504" spans="1:31" ht="16.5" customHeight="1">
      <c r="B504" s="103"/>
      <c r="C504" s="387"/>
      <c r="D504" s="306"/>
      <c r="E504" s="306"/>
      <c r="F504" s="306"/>
      <c r="G504" s="306"/>
      <c r="H504" s="306"/>
      <c r="I504" s="306"/>
      <c r="J504" s="306"/>
      <c r="K504" s="306"/>
      <c r="L504" s="306"/>
      <c r="M504" s="306"/>
      <c r="N504" s="306"/>
      <c r="O504" s="306"/>
      <c r="P504" s="1"/>
      <c r="T504" s="110"/>
      <c r="U504" s="520" t="s">
        <v>102</v>
      </c>
      <c r="V504" s="520"/>
      <c r="W504" s="520"/>
      <c r="X504" s="520"/>
      <c r="Y504" s="520"/>
      <c r="Z504" s="139"/>
      <c r="AA504" s="145"/>
      <c r="AB504" s="194">
        <f>IFERROR(IF('Mon Entreprise'!K8&gt;Annexes!Q29,0,IF('Mon Entreprise'!K8&gt;Annexes!Q26,1,1-'Mon Entreprise'!M114/AB495)),0)</f>
        <v>0</v>
      </c>
      <c r="AC504" s="1"/>
      <c r="AD504" s="1"/>
      <c r="AE504" s="13"/>
    </row>
    <row r="505" spans="1:31" ht="16.5" customHeight="1">
      <c r="B505" s="103"/>
      <c r="C505" s="505" t="s">
        <v>515</v>
      </c>
      <c r="D505" s="505"/>
      <c r="E505" s="505"/>
      <c r="F505" s="505"/>
      <c r="G505" s="505"/>
      <c r="H505" s="505"/>
      <c r="I505" s="505"/>
      <c r="J505" s="505"/>
      <c r="K505" s="505"/>
      <c r="L505" s="505"/>
      <c r="M505" s="505"/>
      <c r="N505" s="505"/>
      <c r="O505" s="505"/>
      <c r="P505" s="1"/>
      <c r="T505" s="110"/>
      <c r="U505" s="520" t="s">
        <v>109</v>
      </c>
      <c r="V505" s="520"/>
      <c r="W505" s="520"/>
      <c r="X505" s="520"/>
      <c r="Y505" s="520"/>
      <c r="Z505" s="139"/>
      <c r="AA505" s="145"/>
      <c r="AB505" s="194">
        <f>IFERROR(IF(Annexes!O27&gt;'Mon Entreprise'!K8,1-'Mon Entreprise'!M98/'Mon Entreprise'!I98,0),0)</f>
        <v>0</v>
      </c>
      <c r="AC505" s="1"/>
      <c r="AD505" s="1"/>
      <c r="AE505" s="13"/>
    </row>
    <row r="506" spans="1:31" ht="16.5" customHeight="1">
      <c r="B506" s="103"/>
      <c r="C506" s="505"/>
      <c r="D506" s="505"/>
      <c r="E506" s="505"/>
      <c r="F506" s="505"/>
      <c r="G506" s="505"/>
      <c r="H506" s="505"/>
      <c r="I506" s="505"/>
      <c r="J506" s="505"/>
      <c r="K506" s="505"/>
      <c r="L506" s="505"/>
      <c r="M506" s="505"/>
      <c r="N506" s="505"/>
      <c r="O506" s="505"/>
      <c r="P506" s="1"/>
      <c r="T506" s="110"/>
      <c r="U506" s="382"/>
      <c r="V506" s="382"/>
      <c r="W506" s="382"/>
      <c r="X506" s="382"/>
      <c r="Y506" s="382"/>
      <c r="Z506" s="139"/>
      <c r="AA506" s="145"/>
      <c r="AB506" s="194"/>
      <c r="AC506" s="1"/>
      <c r="AD506" s="1"/>
      <c r="AE506" s="13"/>
    </row>
    <row r="507" spans="1:31" ht="16.5" customHeight="1">
      <c r="B507" s="103"/>
      <c r="C507" s="505"/>
      <c r="D507" s="505"/>
      <c r="E507" s="505"/>
      <c r="F507" s="505"/>
      <c r="G507" s="505"/>
      <c r="H507" s="505"/>
      <c r="I507" s="505"/>
      <c r="J507" s="505"/>
      <c r="K507" s="505"/>
      <c r="L507" s="505"/>
      <c r="M507" s="505"/>
      <c r="N507" s="505"/>
      <c r="O507" s="505"/>
      <c r="P507" s="1"/>
      <c r="T507" s="110"/>
      <c r="U507" s="382"/>
      <c r="V507" s="382"/>
      <c r="W507" s="382"/>
      <c r="X507" s="382"/>
      <c r="Y507" s="382"/>
      <c r="Z507" s="139"/>
      <c r="AA507" s="145"/>
      <c r="AB507" s="194"/>
      <c r="AC507" s="1"/>
      <c r="AD507" s="1"/>
      <c r="AE507" s="13"/>
    </row>
    <row r="508" spans="1:31" ht="16.5" customHeight="1">
      <c r="B508" s="103"/>
      <c r="C508" s="505"/>
      <c r="D508" s="505"/>
      <c r="E508" s="505"/>
      <c r="F508" s="505"/>
      <c r="G508" s="505"/>
      <c r="H508" s="505"/>
      <c r="I508" s="505"/>
      <c r="J508" s="505"/>
      <c r="K508" s="505"/>
      <c r="L508" s="505"/>
      <c r="M508" s="505"/>
      <c r="N508" s="505"/>
      <c r="O508" s="505"/>
      <c r="P508" s="1"/>
      <c r="T508" s="14"/>
      <c r="U508" s="521" t="s">
        <v>8</v>
      </c>
      <c r="V508" s="521"/>
      <c r="W508" s="521"/>
      <c r="X508" s="521"/>
      <c r="Y508" s="521"/>
      <c r="Z508" s="1"/>
      <c r="AA508" s="14"/>
      <c r="AB508" s="381" t="str">
        <f>IF((AND(Annexes!F5&gt;1,Annexes!F5&lt;=Annexes!H6,AB515&gt;=0.1)),"OUI","NON")</f>
        <v>NON</v>
      </c>
      <c r="AC508" s="1"/>
      <c r="AD508" s="1"/>
      <c r="AE508" s="13"/>
    </row>
    <row r="509" spans="1:31" ht="26.25" customHeight="1">
      <c r="B509" s="103"/>
      <c r="C509" s="352"/>
      <c r="D509" s="564" t="s">
        <v>513</v>
      </c>
      <c r="E509" s="564"/>
      <c r="F509" s="564"/>
      <c r="G509" s="564"/>
      <c r="H509" s="564"/>
      <c r="I509" s="564"/>
      <c r="J509" s="564"/>
      <c r="K509" s="564"/>
      <c r="L509" s="564"/>
      <c r="M509" s="564"/>
      <c r="N509" s="564"/>
      <c r="O509" s="564"/>
      <c r="P509" s="1"/>
      <c r="T509" s="14"/>
      <c r="U509" s="383"/>
      <c r="V509" s="383"/>
      <c r="W509" s="383"/>
      <c r="X509" s="383"/>
      <c r="Y509" s="383" t="s">
        <v>9</v>
      </c>
      <c r="Z509" s="1"/>
      <c r="AA509" s="14"/>
      <c r="AB509" s="381" t="str">
        <f>IF(AND(Annexes!F7&gt;1,Annexes!F7&lt;=Annexes!H8,AB515&gt;=0.1),"OUI","NON")</f>
        <v>NON</v>
      </c>
      <c r="AC509" s="1"/>
      <c r="AD509" s="1"/>
      <c r="AE509" s="13"/>
    </row>
    <row r="510" spans="1:31" ht="16.5" customHeight="1">
      <c r="B510" s="103"/>
      <c r="C510" s="387"/>
      <c r="D510" s="306"/>
      <c r="E510" s="522" t="str">
        <f>IF(AB513="NON","",IF(OR(AB508="OUI",AB510="OUI",AND(AB509="OUI",OR(AB503&gt;=Annexes!P5,AB504&gt;=Annexes!P5,'Mes Aides'!AB145&gt;=0.1))),"",IF(AND(AB509="OUI",OR(AB503&lt;Annexes!P5,AB504&lt;Annexes!P5,'Mes Aides'!AB198&lt;0.1)),"L'entreprise fait partie des entreprises mentionnées en annexe 2 du décret mais n'a pas eu une perte de CA d'au-Moins 80 %, entre le 15/03/2020 et le 15/05/2020 ou Novembre 2020 ou 10 % entre 2019 et 2020","L'entreprise ne fait pas partie des activités mentionnées aux annexes 1, 2 ou domicilé dans une des îles d'outre-mer.")))</f>
        <v>L'entreprise ne fait pas partie des activités mentionnées aux annexes 1, 2 ou domicilé dans une des îles d'outre-mer.</v>
      </c>
      <c r="F510" s="522"/>
      <c r="G510" s="522"/>
      <c r="H510" s="522"/>
      <c r="I510" s="522"/>
      <c r="J510" s="522"/>
      <c r="K510" s="522"/>
      <c r="L510" s="522"/>
      <c r="M510" s="522"/>
      <c r="N510" s="522"/>
      <c r="O510" s="522"/>
      <c r="P510" s="1"/>
      <c r="T510" s="491" t="s">
        <v>474</v>
      </c>
      <c r="U510" s="490"/>
      <c r="V510" s="490"/>
      <c r="W510" s="490"/>
      <c r="X510" s="490"/>
      <c r="Y510" s="490"/>
      <c r="Z510" s="1"/>
      <c r="AA510" s="14"/>
      <c r="AB510" s="381" t="str">
        <f>IF(AND(Annexes!M24=TRUE,AB515&gt;=0.1),"OUI","NON")</f>
        <v>NON</v>
      </c>
      <c r="AC510" s="1"/>
      <c r="AD510" s="1"/>
      <c r="AE510" s="13"/>
    </row>
    <row r="511" spans="1:31" ht="16.5" customHeight="1">
      <c r="B511" s="103"/>
      <c r="C511" s="387"/>
      <c r="D511" s="306"/>
      <c r="E511" s="522"/>
      <c r="F511" s="522"/>
      <c r="G511" s="522"/>
      <c r="H511" s="522"/>
      <c r="I511" s="522"/>
      <c r="J511" s="522"/>
      <c r="K511" s="522"/>
      <c r="L511" s="522"/>
      <c r="M511" s="522"/>
      <c r="N511" s="522"/>
      <c r="O511" s="522"/>
      <c r="P511" s="1"/>
      <c r="T511" s="14"/>
      <c r="U511" s="490" t="s">
        <v>490</v>
      </c>
      <c r="V511" s="490"/>
      <c r="W511" s="490"/>
      <c r="X511" s="490"/>
      <c r="Y511" s="490"/>
      <c r="Z511" s="1"/>
      <c r="AA511" s="14"/>
      <c r="AB511" s="381" t="b">
        <f>IF(AND(Annexes!M35=TRUE,,AB515&gt;=0.2),TRUE,FALSE)</f>
        <v>0</v>
      </c>
      <c r="AC511" s="1"/>
      <c r="AD511" s="1"/>
      <c r="AE511" s="13"/>
    </row>
    <row r="512" spans="1:31" ht="16.5" customHeight="1">
      <c r="A512" s="99"/>
      <c r="B512" s="103"/>
      <c r="C512" s="387"/>
      <c r="D512" s="523" t="str">
        <f>IFERROR(IF('Mon Entreprise'!K8&gt;=Annexes!O20,IF(AB482&gt;=AB484,"- Le CA de référence est celui de Juin 2019, soit une perte de "&amp;ROUND(AB482,0)&amp;" €"&amp;" ==&gt; "&amp;ROUND(AE482*100,0)&amp;" %","- Le CA de référence est celui de la création, soit une perte de "&amp;ROUND(AB484,0)&amp;" €"&amp;" ==&gt; "&amp;ROUND(AE484*100,0)&amp;" %"),IF(AB482&gt;=AB483,"- Le CA de référence est celui de Juin 2019, soit une perte de "&amp;ROUND(AB482,0)&amp;" €"&amp;" ==&gt; "&amp;ROUND(AE482*100,0)&amp;" %","- Le CA de référence est celui de l'exercice 2019, soit une perte de "&amp;ROUND(AB483,0)&amp;" €"&amp;" ==&gt; "&amp;ROUND(AE483*100,0)&amp;" %")),"")</f>
        <v>- Le CA de référence est celui de Juin 2019, soit une perte de 0 € ==&gt; 0 %</v>
      </c>
      <c r="E512" s="523"/>
      <c r="F512" s="523"/>
      <c r="G512" s="523"/>
      <c r="H512" s="523"/>
      <c r="I512" s="523"/>
      <c r="J512" s="523"/>
      <c r="K512" s="523"/>
      <c r="L512" s="523"/>
      <c r="M512" s="523"/>
      <c r="N512" s="523"/>
      <c r="O512" s="523"/>
      <c r="P512" s="1"/>
      <c r="T512" s="14"/>
      <c r="U512" s="381"/>
      <c r="V512" s="381"/>
      <c r="W512" s="381"/>
      <c r="X512" s="381"/>
      <c r="Y512" s="381" t="s">
        <v>491</v>
      </c>
      <c r="Z512" s="1"/>
      <c r="AA512" s="14"/>
      <c r="AB512" s="381" t="b">
        <f>IF(AND(Annexes!M36=TRUE,AB515&gt;=0.5),TRUE,FALSE)</f>
        <v>0</v>
      </c>
      <c r="AC512" s="1"/>
      <c r="AD512" s="1"/>
      <c r="AE512" s="13"/>
    </row>
    <row r="513" spans="1:31" ht="16.5" customHeight="1">
      <c r="A513" s="99"/>
      <c r="B513" s="103"/>
      <c r="C513" s="387"/>
      <c r="D513" s="524" t="str">
        <f>IFERROR(IF('Mon Entreprise'!K8&gt;=Annexes!O20,"",IF(AB482&lt;AB483,"A noter qu'il convient de choisir l'option retenue par l'entreprise lors de sa demande au titre du mois Février ou a défaut celui du mois de Mars, d'Avril, ou Mai 2021, si le CA de référence était celui de février (...) 2019,"&amp;" il convient de prendre celui de Juin 2019 (...), soit "&amp;ROUND(AB482,0)&amp;" €"&amp;" ==&gt; "&amp;ROUND(AE482*100,0)&amp;" %","A noter qu'il convient de choisir l'option retenue par l'entreprise lors de sa demande"&amp;" au titre du mois Février  ou a défaut celui du mois de Mars, d'Avril, ou Mai 2021, si le CA de référence était celui de l'exercice 2019, il convient de prendre celui de l'exercie 2019, soit une perte de "&amp;ROUND(AB483,0)&amp;" €"&amp;" ==&gt; "&amp;ROUND(AE483*100,0)&amp;" %")),"")</f>
        <v>A noter qu'il convient de choisir l'option retenue par l'entreprise lors de sa demande au titre du mois Février  ou a défaut celui du mois de Mars, d'Avril, ou Mai 2021, si le CA de référence était celui de l'exercice 2019, il convient de prendre celui de l'exercie 2019, soit une perte de 0 € ==&gt; 0 %</v>
      </c>
      <c r="E513" s="524"/>
      <c r="F513" s="524"/>
      <c r="G513" s="524"/>
      <c r="H513" s="524"/>
      <c r="I513" s="524"/>
      <c r="J513" s="524"/>
      <c r="K513" s="524"/>
      <c r="L513" s="524"/>
      <c r="M513" s="524"/>
      <c r="N513" s="524"/>
      <c r="O513" s="524"/>
      <c r="P513" s="1"/>
      <c r="T513" s="14"/>
      <c r="U513" s="525" t="s">
        <v>72</v>
      </c>
      <c r="V513" s="525"/>
      <c r="W513" s="525"/>
      <c r="X513" s="525"/>
      <c r="Y513" s="525"/>
      <c r="Z513" s="139"/>
      <c r="AA513" s="145"/>
      <c r="AB513" s="385" t="str">
        <f>IF(AB494="Oui","Oui","Non")</f>
        <v>Oui</v>
      </c>
      <c r="AC513" s="139"/>
      <c r="AD513" s="1"/>
      <c r="AE513" s="13"/>
    </row>
    <row r="514" spans="1:31" ht="16.5" customHeight="1">
      <c r="A514" s="99"/>
      <c r="B514" s="103"/>
      <c r="C514" s="387"/>
      <c r="D514" s="524"/>
      <c r="E514" s="524"/>
      <c r="F514" s="524"/>
      <c r="G514" s="524"/>
      <c r="H514" s="524"/>
      <c r="I514" s="524"/>
      <c r="J514" s="524"/>
      <c r="K514" s="524"/>
      <c r="L514" s="524"/>
      <c r="M514" s="524"/>
      <c r="N514" s="524"/>
      <c r="O514" s="524"/>
      <c r="P514" s="1"/>
      <c r="T514" s="14"/>
      <c r="U514" s="525" t="s">
        <v>84</v>
      </c>
      <c r="V514" s="525"/>
      <c r="W514" s="525"/>
      <c r="X514" s="525"/>
      <c r="Y514" s="525"/>
      <c r="Z514" s="139"/>
      <c r="AA514" s="145"/>
      <c r="AB514" s="385">
        <f>IF('Mon Entreprise'!K8&gt;=Annexes!O20,IF(AB482&gt;=AB484,AB482,AB484),IF(AB482&gt;=AB483,AB482,AB483))</f>
        <v>0</v>
      </c>
      <c r="AC514" s="139"/>
      <c r="AD514" s="1"/>
      <c r="AE514" s="13"/>
    </row>
    <row r="515" spans="1:31" ht="16.5" customHeight="1">
      <c r="B515" s="103"/>
      <c r="C515" s="387"/>
      <c r="D515" s="215"/>
      <c r="E515" s="377"/>
      <c r="F515" s="377"/>
      <c r="G515" s="377"/>
      <c r="H515" s="377"/>
      <c r="I515" s="377"/>
      <c r="J515" s="377"/>
      <c r="K515" s="377"/>
      <c r="L515" s="377"/>
      <c r="M515" s="377"/>
      <c r="N515" s="377"/>
      <c r="O515" s="377"/>
      <c r="P515" s="1"/>
      <c r="T515" s="14"/>
      <c r="U515" s="525" t="s">
        <v>85</v>
      </c>
      <c r="V515" s="525"/>
      <c r="W515" s="525"/>
      <c r="X515" s="525"/>
      <c r="Y515" s="525"/>
      <c r="Z515" s="139"/>
      <c r="AA515" s="145"/>
      <c r="AB515" s="385">
        <f>IF('Mon Entreprise'!K8&gt;=Annexes!O20,IF(AB482&gt;=AB484,AE482,AE484),IF(AB482&gt;=AB483,AE482,AE483))</f>
        <v>0</v>
      </c>
      <c r="AC515" s="139"/>
      <c r="AD515" s="1"/>
      <c r="AE515" s="13"/>
    </row>
    <row r="516" spans="1:31" ht="16.5" customHeight="1" thickBot="1">
      <c r="B516" s="103"/>
      <c r="C516" s="387"/>
      <c r="D516" s="377"/>
      <c r="E516" s="377"/>
      <c r="F516" s="377"/>
      <c r="G516" s="377"/>
      <c r="H516" s="377"/>
      <c r="I516" s="377"/>
      <c r="J516" s="377"/>
      <c r="K516" s="377"/>
      <c r="L516" s="377"/>
      <c r="M516" s="377"/>
      <c r="N516" s="377"/>
      <c r="O516" s="377"/>
      <c r="P516" s="1"/>
      <c r="T516" s="14"/>
      <c r="U516" s="502" t="s">
        <v>74</v>
      </c>
      <c r="V516" s="502"/>
      <c r="W516" s="502"/>
      <c r="X516" s="502"/>
      <c r="Y516" s="502"/>
      <c r="Z516" s="139"/>
      <c r="AA516" s="145"/>
      <c r="AB516" s="385">
        <v>1</v>
      </c>
      <c r="AC516" s="139"/>
      <c r="AD516" s="1"/>
      <c r="AE516" s="13"/>
    </row>
    <row r="517" spans="1:31" ht="16.5" customHeight="1">
      <c r="B517" s="103"/>
      <c r="C517" s="387"/>
      <c r="D517" s="527" t="str">
        <f>IFERROR(IF(AB513="NON","Vous avez débuté votre activité après le 31 Janvier 2020, vous ne pouvez donc pas bénéficier de cette aide",IF(OR(AB508="OUI",AB510="OUI",AND(AB509="OUI",OR(AB503&lt;Annexes!P5,AB504&lt;Annexes!P5,'Mes Aides'!AB198&lt;0.1))),IF(AND(0.4*AB518&gt;Annexes!O8,0.2*AB517&gt;Annexes!O8),"Dans votre cas, l'aide est plafonnée, à "&amp;Annexes!O8&amp;" € pour le mois de Juin",IF(0.4*AB518&gt;=0.2*AB517,"Dans votre cas, 40 % de la perte est supérieur à 20 % du CA, l'aide est donc plafonnée à 20 % du CA, soit "&amp;ROUND(0.2*AB517,0)&amp;" € pour le mois de Juin","Dans votre cas, 40% de la perte est inférieure à 20 % du CA, l'aide est donc plafonnée à 40 % de la perte, soit "&amp;ROUND(0.4*AB518,0)&amp;" € pour le mois de Juin")),"Vous ne faites pas partie des entreprises ayant leur activité mentionnée en annexe 1, ou en annexe 2, avec une perte de CA "&amp;"d'au moins 80 % entre le 15/03/2020 et le 15/05/2020 ou au mois de Novembre 2020 ou une perte de 10 % entre 2019 et 2020, ou domicilié dans les îles d'outre-mer")),"Vous n'avez pas indiqué de chiffre d'affaires de référence")</f>
        <v>Vous ne faites pas partie des entreprises ayant leur activité mentionnée en annexe 1, ou en annexe 2, avec une perte de CA d'au moins 80 % entre le 15/03/2020 et le 15/05/2020 ou au mois de Novembre 2020 ou une perte de 10 % entre 2019 et 2020, ou domicilié dans les îles d'outre-mer</v>
      </c>
      <c r="E517" s="509"/>
      <c r="F517" s="509"/>
      <c r="G517" s="509"/>
      <c r="H517" s="509"/>
      <c r="I517" s="509"/>
      <c r="J517" s="509"/>
      <c r="K517" s="509"/>
      <c r="L517" s="509"/>
      <c r="M517" s="509"/>
      <c r="N517" s="509"/>
      <c r="O517" s="510"/>
      <c r="P517" s="1"/>
      <c r="T517" s="14"/>
      <c r="U517" s="502" t="s">
        <v>80</v>
      </c>
      <c r="V517" s="502"/>
      <c r="W517" s="502"/>
      <c r="X517" s="502"/>
      <c r="Y517" s="502"/>
      <c r="Z517" s="139"/>
      <c r="AA517" s="145"/>
      <c r="AB517" s="385">
        <f>IF('Mon Entreprise'!K8&gt;=Annexes!O20,IF(AB482&gt;=AB484,Y482,Y484),IF(AB482&gt;=AB483,Y482,Y483))</f>
        <v>0</v>
      </c>
      <c r="AC517" s="139"/>
      <c r="AD517" s="1"/>
      <c r="AE517" s="13"/>
    </row>
    <row r="518" spans="1:31" ht="16.5" customHeight="1">
      <c r="B518" s="173"/>
      <c r="C518" s="387"/>
      <c r="D518" s="511"/>
      <c r="E518" s="512"/>
      <c r="F518" s="512"/>
      <c r="G518" s="512"/>
      <c r="H518" s="512"/>
      <c r="I518" s="512"/>
      <c r="J518" s="512"/>
      <c r="K518" s="512"/>
      <c r="L518" s="512"/>
      <c r="M518" s="512"/>
      <c r="N518" s="512"/>
      <c r="O518" s="513"/>
      <c r="P518" s="1"/>
      <c r="T518" s="14"/>
      <c r="U518" s="490" t="s">
        <v>104</v>
      </c>
      <c r="V518" s="490"/>
      <c r="W518" s="490"/>
      <c r="X518" s="490"/>
      <c r="Y518" s="490"/>
      <c r="Z518" s="1"/>
      <c r="AA518" s="14"/>
      <c r="AB518" s="381">
        <f>IF(AB516=1,AB514,IF(AB514*AB516&gt;1500,IF(AB514&gt;1500,AB514*AB516,"Impossible"),IF(AB514&lt;1500,AB514,1500)))</f>
        <v>0</v>
      </c>
      <c r="AC518" s="1"/>
      <c r="AD518" s="1"/>
      <c r="AE518" s="13"/>
    </row>
    <row r="519" spans="1:31" ht="16.5" customHeight="1">
      <c r="B519" s="103"/>
      <c r="C519" s="387"/>
      <c r="D519" s="511"/>
      <c r="E519" s="512"/>
      <c r="F519" s="512"/>
      <c r="G519" s="512"/>
      <c r="H519" s="512"/>
      <c r="I519" s="512"/>
      <c r="J519" s="512"/>
      <c r="K519" s="512"/>
      <c r="L519" s="512"/>
      <c r="M519" s="512"/>
      <c r="N519" s="512"/>
      <c r="O519" s="513"/>
      <c r="P519" s="1"/>
      <c r="T519" s="14"/>
      <c r="U519" s="381"/>
      <c r="V519" s="381"/>
      <c r="W519" s="381"/>
      <c r="X519" s="381"/>
      <c r="Y519" s="381"/>
      <c r="Z519" s="1"/>
      <c r="AA519" s="1"/>
      <c r="AB519" s="1"/>
      <c r="AC519" s="1"/>
      <c r="AD519" s="1"/>
      <c r="AE519" s="13"/>
    </row>
    <row r="520" spans="1:31" ht="16.5" customHeight="1" thickBot="1">
      <c r="B520" s="103"/>
      <c r="C520" s="387"/>
      <c r="D520" s="514"/>
      <c r="E520" s="515"/>
      <c r="F520" s="515"/>
      <c r="G520" s="515"/>
      <c r="H520" s="515"/>
      <c r="I520" s="515"/>
      <c r="J520" s="515"/>
      <c r="K520" s="515"/>
      <c r="L520" s="515"/>
      <c r="M520" s="515"/>
      <c r="N520" s="515"/>
      <c r="O520" s="516"/>
      <c r="P520" s="1"/>
      <c r="T520" s="14"/>
      <c r="U520" s="490"/>
      <c r="V520" s="490"/>
      <c r="W520" s="490"/>
      <c r="X520" s="490"/>
      <c r="Y520" s="490"/>
      <c r="Z520" s="1"/>
      <c r="AA520" s="1"/>
      <c r="AB520" s="1"/>
      <c r="AC520" s="1"/>
      <c r="AD520" s="1"/>
      <c r="AE520" s="13"/>
    </row>
    <row r="521" spans="1:31" ht="16.5" customHeight="1">
      <c r="B521" s="103"/>
      <c r="C521" s="169"/>
      <c r="D521" s="174"/>
      <c r="E521" s="174"/>
      <c r="F521" s="174"/>
      <c r="G521" s="174"/>
      <c r="H521" s="174"/>
      <c r="I521" s="174"/>
      <c r="J521" s="174"/>
      <c r="K521" s="174"/>
      <c r="L521" s="174"/>
      <c r="M521" s="174"/>
      <c r="N521" s="174"/>
      <c r="O521" s="174"/>
      <c r="P521" s="1"/>
      <c r="T521" s="14"/>
      <c r="U521" s="381"/>
      <c r="V521" s="381"/>
      <c r="W521" s="381"/>
      <c r="X521" s="381"/>
      <c r="Y521" s="381"/>
      <c r="Z521" s="1"/>
      <c r="AA521" s="1"/>
      <c r="AB521" s="1"/>
      <c r="AC521" s="1"/>
      <c r="AD521" s="1"/>
      <c r="AE521" s="13"/>
    </row>
    <row r="522" spans="1:31" ht="16.5" customHeight="1">
      <c r="B522" s="103"/>
      <c r="C522" s="387"/>
      <c r="D522" s="377"/>
      <c r="E522" s="377"/>
      <c r="F522" s="377"/>
      <c r="G522" s="377"/>
      <c r="H522" s="377"/>
      <c r="I522" s="377"/>
      <c r="J522" s="377"/>
      <c r="K522" s="377"/>
      <c r="L522" s="377"/>
      <c r="M522" s="377"/>
      <c r="N522" s="377"/>
      <c r="O522" s="377"/>
      <c r="P522" s="1"/>
      <c r="T522" s="14"/>
      <c r="U522" s="1"/>
      <c r="V522" s="1"/>
      <c r="W522" s="1"/>
      <c r="X522" s="1"/>
      <c r="Y522" s="1"/>
      <c r="Z522" s="1"/>
      <c r="AA522" s="1"/>
      <c r="AB522" s="1"/>
      <c r="AC522" s="1"/>
      <c r="AD522" s="1"/>
      <c r="AE522" s="13"/>
    </row>
    <row r="523" spans="1:31" ht="16.5" customHeight="1">
      <c r="B523" s="103"/>
      <c r="C523" s="529" t="s">
        <v>479</v>
      </c>
      <c r="D523" s="529"/>
      <c r="E523" s="529"/>
      <c r="F523" s="529"/>
      <c r="G523" s="529"/>
      <c r="H523" s="529"/>
      <c r="I523" s="529"/>
      <c r="J523" s="529"/>
      <c r="K523" s="529"/>
      <c r="L523" s="529"/>
      <c r="M523" s="529"/>
      <c r="N523" s="529"/>
      <c r="O523" s="529"/>
      <c r="P523" s="1"/>
      <c r="T523" s="14"/>
      <c r="U523" s="1"/>
      <c r="V523" s="1"/>
      <c r="W523" s="1"/>
      <c r="X523" s="1"/>
      <c r="Y523" s="1"/>
      <c r="Z523" s="1"/>
      <c r="AA523" s="1"/>
      <c r="AB523" s="1"/>
      <c r="AC523" s="1"/>
      <c r="AD523" s="1"/>
      <c r="AE523" s="13"/>
    </row>
    <row r="524" spans="1:31" ht="16.5" customHeight="1">
      <c r="B524" s="173"/>
      <c r="C524" s="387"/>
      <c r="D524" s="306"/>
      <c r="E524" s="528" t="str">
        <f>IF(AB513="NON","",IF(AB511=TRUE,"","L'entreprise n'a pas été en fermeture administrative sur le mois avec une perte de 20 % de CA"))</f>
        <v>L'entreprise n'a pas été en fermeture administrative sur le mois avec une perte de 20 % de CA</v>
      </c>
      <c r="F524" s="528"/>
      <c r="G524" s="528"/>
      <c r="H524" s="528"/>
      <c r="I524" s="528"/>
      <c r="J524" s="528"/>
      <c r="K524" s="528"/>
      <c r="L524" s="528"/>
      <c r="M524" s="528"/>
      <c r="N524" s="528"/>
      <c r="O524" s="528"/>
      <c r="P524" s="1"/>
      <c r="T524" s="14"/>
      <c r="U524" s="502" t="s">
        <v>82</v>
      </c>
      <c r="V524" s="502"/>
      <c r="W524" s="502"/>
      <c r="X524" s="502"/>
      <c r="Y524" s="502"/>
      <c r="Z524" s="68"/>
      <c r="AA524" s="1"/>
      <c r="AB524" s="1">
        <f>IFERROR(IF(AB494="Non",0,IF(AND(AB512=TRUE,AB497&gt;=0.5),IF(AB496&gt;Annexes!O5,Annexes!O5,ROUND(AB496,0)),0)),0)</f>
        <v>0</v>
      </c>
      <c r="AC524" s="1"/>
      <c r="AD524" s="1"/>
      <c r="AE524" s="13"/>
    </row>
    <row r="525" spans="1:31" ht="15" customHeight="1">
      <c r="B525" s="173"/>
      <c r="C525" s="387"/>
      <c r="D525" s="306"/>
      <c r="E525" s="528"/>
      <c r="F525" s="528"/>
      <c r="G525" s="528"/>
      <c r="H525" s="528"/>
      <c r="I525" s="528"/>
      <c r="J525" s="528"/>
      <c r="K525" s="528"/>
      <c r="L525" s="528"/>
      <c r="M525" s="528"/>
      <c r="N525" s="528"/>
      <c r="O525" s="528"/>
      <c r="P525" s="1"/>
      <c r="T525" s="14"/>
      <c r="U525" s="502" t="s">
        <v>477</v>
      </c>
      <c r="V525" s="502"/>
      <c r="W525" s="502"/>
      <c r="X525" s="502"/>
      <c r="Y525" s="502"/>
      <c r="Z525" s="68"/>
      <c r="AA525" s="1"/>
      <c r="AB525" s="1">
        <f>IFERROR(IF(AB513="NON",0,IF(OR(AB508="OUI",AB510="OUI",AND(AB509="OUI",OR(AB503&lt;Annexes!P5,AB504&lt;Annexes!P5,'Mes Aides'!AB198&lt;0.1))),IF(AND(0.4*AB518,0.2*AB517)&lt;Annexes!O8,Annexes!O8,IF(0.4*AB518&gt;=0.2*AB517,ROUND(0.2*AB517,0),ROUND(0.4*AB518,0))),0)),0)</f>
        <v>0</v>
      </c>
      <c r="AC525" s="1"/>
      <c r="AD525" s="1"/>
      <c r="AE525" s="13"/>
    </row>
    <row r="526" spans="1:31" ht="15" customHeight="1">
      <c r="B526" s="173"/>
      <c r="C526" s="387"/>
      <c r="D526" s="306"/>
      <c r="E526" s="353"/>
      <c r="F526" s="353"/>
      <c r="G526" s="353"/>
      <c r="H526" s="353"/>
      <c r="I526" s="353"/>
      <c r="J526" s="353"/>
      <c r="K526" s="353"/>
      <c r="L526" s="353"/>
      <c r="M526" s="353"/>
      <c r="N526" s="353"/>
      <c r="O526" s="353"/>
      <c r="P526" s="1"/>
      <c r="T526" s="14"/>
      <c r="U526" s="502" t="s">
        <v>478</v>
      </c>
      <c r="V526" s="502"/>
      <c r="W526" s="502"/>
      <c r="X526" s="502"/>
      <c r="Y526" s="502"/>
      <c r="Z526" s="68"/>
      <c r="AA526" s="1"/>
      <c r="AB526" s="1">
        <f>IFERROR(IF(AB513="NON",0,IF(AB511=TRUE,IF(AB517*0.2&gt;Annexes!O8,Annexes!O8,ROUND(AB517*0.2,0)),0)),0)</f>
        <v>0</v>
      </c>
      <c r="AC526" s="1"/>
      <c r="AD526" s="1"/>
      <c r="AE526" s="13"/>
    </row>
    <row r="527" spans="1:31" ht="16.5" customHeight="1">
      <c r="B527" s="173"/>
      <c r="C527" s="387"/>
      <c r="D527" s="417" t="str">
        <f>IFERROR(IF('Mon Entreprise'!K8&gt;=Annexes!O20,IF(AB482&gt;=AB484,"- Le CA de référence est celui de Juin 2019, soit une perte de "&amp;ROUND(AB482,0)&amp;" €"&amp;" ==&gt; "&amp;ROUND(AE482*100,0)&amp;" %","- Le CA de référence est celui de la création, soit une perte de "&amp;ROUND(AB484,0)&amp;" €"&amp;" ==&gt; "&amp;ROUND(AE484*100,0)&amp;" %"),IF(AB482&gt;=AB483,"- Le CA de référence est celui de Juin 2019, soit une perte de "&amp;ROUND(AB482,0)&amp;" €"&amp;" ==&gt; "&amp;ROUND(AE482*100,0)&amp;" %","- Le CA de référence est celui de l'exercice 2019, soit une perte de "&amp;ROUND(AB483,0)&amp;" €"&amp;" ==&gt; "&amp;ROUND(AE483*100,0)&amp;" %")),"")</f>
        <v>- Le CA de référence est celui de Juin 2019, soit une perte de 0 € ==&gt; 0 %</v>
      </c>
      <c r="E527" s="417"/>
      <c r="F527" s="417"/>
      <c r="G527" s="417"/>
      <c r="H527" s="417"/>
      <c r="I527" s="417"/>
      <c r="J527" s="417"/>
      <c r="K527" s="417"/>
      <c r="L527" s="417"/>
      <c r="M527" s="417"/>
      <c r="N527" s="417"/>
      <c r="O527" s="417"/>
      <c r="P527" s="377"/>
      <c r="Q527" s="377"/>
      <c r="T527" s="14"/>
      <c r="U527" s="1"/>
      <c r="V527" s="1"/>
      <c r="W527" s="1"/>
      <c r="X527" s="1"/>
      <c r="Y527" s="1"/>
      <c r="Z527" s="1"/>
      <c r="AA527" s="1"/>
      <c r="AB527" s="1"/>
      <c r="AC527" s="1"/>
      <c r="AD527" s="1"/>
      <c r="AE527" s="13"/>
    </row>
    <row r="528" spans="1:31" ht="16.5" customHeight="1">
      <c r="B528" s="173"/>
      <c r="C528" s="387"/>
      <c r="D528" s="524" t="str">
        <f>IFERROR(IF('Mon Entreprise'!K8&gt;=Annexes!O20,"",IF(AB482&lt;AB483,"A noter qu'il convient de choisir l'option retenue par l'entreprise lors de sa demande au titre du mois Février ou a défaut celui du mois de Mars, Avril, ou Mai 2021, si le CA de référence était celui de février (...) 2019, il convient"&amp;" de prendre celui de Juin 2019 (...), soit "&amp;ROUND(AB482,0)&amp;" €"&amp;" ==&gt; "&amp;ROUND(AE482*100,0)&amp;" %","A noter qu'il convient de choisir l'option retenue par l'entreprise lors de sa demande au titre du mois Février "&amp;"ou a défaut celui du mois de Mars, Avril, ou Mai 2021, si le CA de référence était celui de l'exercice 2019, il convient de prendre celui de l'exercie 2019, soit une perte de "&amp;ROUND(AB483,0)&amp;" €"&amp;" ==&gt; "&amp;ROUND(AE483*100,0)&amp;" %")),"")</f>
        <v>A noter qu'il convient de choisir l'option retenue par l'entreprise lors de sa demande au titre du mois Février ou a défaut celui du mois de Mars, Avril, ou Mai 2021, si le CA de référence était celui de l'exercice 2019, il convient de prendre celui de l'exercie 2019, soit une perte de 0 € ==&gt; 0 %</v>
      </c>
      <c r="E528" s="524"/>
      <c r="F528" s="524"/>
      <c r="G528" s="524"/>
      <c r="H528" s="524"/>
      <c r="I528" s="524"/>
      <c r="J528" s="524"/>
      <c r="K528" s="524"/>
      <c r="L528" s="524"/>
      <c r="M528" s="524"/>
      <c r="N528" s="524"/>
      <c r="O528" s="524"/>
      <c r="P528" s="377"/>
      <c r="Q528" s="377"/>
      <c r="T528" s="14"/>
      <c r="U528" s="1"/>
      <c r="V528" s="1"/>
      <c r="W528" s="1"/>
      <c r="X528" s="1"/>
      <c r="Y528" s="1"/>
      <c r="Z528" s="1"/>
      <c r="AA528" s="1"/>
      <c r="AB528" s="1"/>
      <c r="AC528" s="1"/>
      <c r="AD528" s="1"/>
      <c r="AE528" s="13"/>
    </row>
    <row r="529" spans="2:31" ht="16.5" customHeight="1">
      <c r="B529" s="173"/>
      <c r="C529" s="387"/>
      <c r="D529" s="524"/>
      <c r="E529" s="524"/>
      <c r="F529" s="524"/>
      <c r="G529" s="524"/>
      <c r="H529" s="524"/>
      <c r="I529" s="524"/>
      <c r="J529" s="524"/>
      <c r="K529" s="524"/>
      <c r="L529" s="524"/>
      <c r="M529" s="524"/>
      <c r="N529" s="524"/>
      <c r="O529" s="524"/>
      <c r="P529" s="377"/>
      <c r="Q529" s="377"/>
      <c r="T529" s="14"/>
      <c r="U529" s="1"/>
      <c r="V529" s="1"/>
      <c r="W529" s="1"/>
      <c r="X529" s="1"/>
      <c r="Y529" s="1"/>
      <c r="Z529" s="1"/>
      <c r="AA529" s="1"/>
      <c r="AB529" s="1"/>
      <c r="AC529" s="1"/>
      <c r="AD529" s="1"/>
      <c r="AE529" s="13"/>
    </row>
    <row r="530" spans="2:31" ht="16.5" customHeight="1" thickBot="1">
      <c r="B530" s="168"/>
      <c r="C530" s="387"/>
      <c r="D530" s="205"/>
      <c r="E530" s="377"/>
      <c r="F530" s="377"/>
      <c r="G530" s="377"/>
      <c r="H530" s="377"/>
      <c r="I530" s="377"/>
      <c r="J530" s="377"/>
      <c r="K530" s="377"/>
      <c r="L530" s="377"/>
      <c r="M530" s="377"/>
      <c r="N530" s="377"/>
      <c r="O530" s="377"/>
      <c r="P530" s="377"/>
      <c r="Q530" s="377"/>
      <c r="T530" s="14"/>
      <c r="U530" s="1"/>
      <c r="V530" s="1"/>
      <c r="W530" s="1"/>
      <c r="X530" s="1"/>
      <c r="Y530" s="1"/>
      <c r="Z530" s="1"/>
      <c r="AA530" s="1"/>
      <c r="AB530" s="1"/>
      <c r="AC530" s="1"/>
      <c r="AD530" s="1"/>
      <c r="AE530" s="13"/>
    </row>
    <row r="531" spans="2:31" ht="16.5" customHeight="1">
      <c r="B531" s="103"/>
      <c r="C531" s="180"/>
      <c r="D531" s="526" t="str">
        <f>IFERROR(IF(AB513="NON","Vous avez débuté votre activité après le 31 Janvier 2020, vous ne pouvez donc pas bénéficier de cette aide",IF(AB511=TRUE,IF(AB517*0.2&gt;Annexes!O8,"Dans votre cas, l'aide est plafonnée, à "&amp;Annexes!O8&amp;" € pour le mois de Juin","Dans votre cas, l'aide est plafonnée à 20 % du CA, soit "&amp;ROUND(AB517*0.2,0)&amp;" € pour le mois de Juin"),"Vous ne faites pas partie des entreprises en fermeture Administrative avec 20 % de perte de CA")),"Vous n'avez pas indiqué de chiffre d'affaires de référence")</f>
        <v>Vous ne faites pas partie des entreprises en fermeture Administrative avec 20 % de perte de CA</v>
      </c>
      <c r="E531" s="509"/>
      <c r="F531" s="509"/>
      <c r="G531" s="509"/>
      <c r="H531" s="509"/>
      <c r="I531" s="509"/>
      <c r="J531" s="509"/>
      <c r="K531" s="509"/>
      <c r="L531" s="509"/>
      <c r="M531" s="509"/>
      <c r="N531" s="509"/>
      <c r="O531" s="510"/>
      <c r="P531" s="377"/>
      <c r="Q531" s="377"/>
      <c r="T531" s="14"/>
      <c r="U531" s="1"/>
      <c r="V531" s="1"/>
      <c r="W531" s="1"/>
      <c r="X531" s="1"/>
      <c r="Y531" s="1"/>
      <c r="Z531" s="1"/>
      <c r="AA531" s="1"/>
      <c r="AB531" s="1"/>
      <c r="AC531" s="1"/>
      <c r="AD531" s="1"/>
      <c r="AE531" s="13"/>
    </row>
    <row r="532" spans="2:31" ht="16.5" customHeight="1">
      <c r="B532" s="103"/>
      <c r="C532" s="180"/>
      <c r="D532" s="511"/>
      <c r="E532" s="512"/>
      <c r="F532" s="512"/>
      <c r="G532" s="512"/>
      <c r="H532" s="512"/>
      <c r="I532" s="512"/>
      <c r="J532" s="512"/>
      <c r="K532" s="512"/>
      <c r="L532" s="512"/>
      <c r="M532" s="512"/>
      <c r="N532" s="512"/>
      <c r="O532" s="513"/>
      <c r="P532" s="377"/>
      <c r="Q532" s="377"/>
      <c r="T532" s="14"/>
      <c r="U532" s="1"/>
      <c r="V532" s="1"/>
      <c r="W532" s="1"/>
      <c r="X532" s="1"/>
      <c r="Y532" s="1"/>
      <c r="Z532" s="1"/>
      <c r="AA532" s="1"/>
      <c r="AB532" s="1"/>
      <c r="AC532" s="1"/>
      <c r="AD532" s="1"/>
      <c r="AE532" s="13"/>
    </row>
    <row r="533" spans="2:31" ht="16.5" customHeight="1">
      <c r="B533" s="103"/>
      <c r="C533" s="180"/>
      <c r="D533" s="511"/>
      <c r="E533" s="512"/>
      <c r="F533" s="512"/>
      <c r="G533" s="512"/>
      <c r="H533" s="512"/>
      <c r="I533" s="512"/>
      <c r="J533" s="512"/>
      <c r="K533" s="512"/>
      <c r="L533" s="512"/>
      <c r="M533" s="512"/>
      <c r="N533" s="512"/>
      <c r="O533" s="513"/>
      <c r="P533" s="175"/>
      <c r="Q533" s="175"/>
      <c r="T533" s="14"/>
      <c r="U533" s="1"/>
      <c r="V533" s="1"/>
      <c r="W533" s="1"/>
      <c r="X533" s="1"/>
      <c r="Y533" s="1"/>
      <c r="Z533" s="1"/>
      <c r="AA533" s="1"/>
      <c r="AB533" s="1"/>
      <c r="AC533" s="1"/>
      <c r="AD533" s="1"/>
      <c r="AE533" s="13"/>
    </row>
    <row r="534" spans="2:31" ht="16.5" customHeight="1" thickBot="1">
      <c r="B534" s="103"/>
      <c r="C534" s="180"/>
      <c r="D534" s="514"/>
      <c r="E534" s="515"/>
      <c r="F534" s="515"/>
      <c r="G534" s="515"/>
      <c r="H534" s="515"/>
      <c r="I534" s="515"/>
      <c r="J534" s="515"/>
      <c r="K534" s="515"/>
      <c r="L534" s="515"/>
      <c r="M534" s="515"/>
      <c r="N534" s="515"/>
      <c r="O534" s="516"/>
      <c r="T534" s="14"/>
      <c r="U534" s="1"/>
      <c r="V534" s="1"/>
      <c r="W534" s="1"/>
      <c r="X534" s="1"/>
      <c r="Y534" s="1"/>
      <c r="Z534" s="1"/>
      <c r="AA534" s="1"/>
      <c r="AB534" s="1"/>
      <c r="AC534" s="1"/>
      <c r="AD534" s="1"/>
      <c r="AE534" s="13"/>
    </row>
    <row r="535" spans="2:31" ht="16.5" customHeight="1">
      <c r="B535" s="5"/>
      <c r="C535" s="5"/>
      <c r="D535" s="354"/>
      <c r="E535" s="354"/>
      <c r="F535" s="354"/>
      <c r="G535" s="354"/>
      <c r="H535" s="354"/>
      <c r="I535" s="354"/>
      <c r="J535" s="354"/>
      <c r="K535" s="354"/>
      <c r="L535" s="354"/>
      <c r="M535" s="354"/>
      <c r="N535" s="354"/>
      <c r="O535" s="354"/>
      <c r="P535" s="177"/>
      <c r="Q535" s="177"/>
      <c r="T535" s="14"/>
      <c r="U535" s="1"/>
      <c r="V535" s="1"/>
      <c r="W535" s="1"/>
      <c r="X535" s="1"/>
      <c r="Y535" s="1"/>
      <c r="Z535" s="1"/>
      <c r="AA535" s="1"/>
      <c r="AB535" s="1"/>
      <c r="AC535" s="1"/>
      <c r="AD535" s="1"/>
      <c r="AE535" s="13"/>
    </row>
    <row r="536" spans="2:31" ht="16.5" thickBot="1">
      <c r="B536" s="220"/>
      <c r="C536" s="488" t="s">
        <v>482</v>
      </c>
      <c r="D536" s="488"/>
      <c r="E536" s="488"/>
      <c r="F536" s="488"/>
      <c r="G536" s="488"/>
      <c r="H536" s="488"/>
      <c r="I536" s="221"/>
      <c r="J536" s="221"/>
      <c r="K536" s="221"/>
      <c r="L536" s="221"/>
      <c r="M536" s="221"/>
      <c r="N536" s="221"/>
      <c r="O536" s="221"/>
      <c r="T536" s="16"/>
      <c r="U536" s="11"/>
      <c r="V536" s="11"/>
      <c r="W536" s="11"/>
      <c r="X536" s="11"/>
      <c r="Y536" s="11"/>
      <c r="Z536" s="11"/>
      <c r="AA536" s="11"/>
      <c r="AB536" s="11"/>
      <c r="AC536" s="11"/>
      <c r="AD536" s="11"/>
      <c r="AE536" s="12"/>
    </row>
    <row r="537" spans="2:31" ht="15" customHeight="1">
      <c r="B537" s="63"/>
      <c r="C537" s="24"/>
      <c r="D537" s="24"/>
      <c r="E537" s="24"/>
      <c r="F537" s="24"/>
      <c r="G537" s="24"/>
      <c r="H537" s="63"/>
      <c r="I537" s="1"/>
      <c r="J537" s="1"/>
      <c r="K537" s="1"/>
      <c r="L537" s="1"/>
      <c r="M537" s="1"/>
      <c r="N537" s="1"/>
      <c r="O537" s="1"/>
      <c r="T537" s="14"/>
      <c r="U537" s="1"/>
      <c r="V537" s="1"/>
      <c r="W537" s="1"/>
      <c r="X537" s="1"/>
      <c r="Y537" s="1"/>
      <c r="Z537" s="1"/>
      <c r="AA537" s="1"/>
      <c r="AB537" s="1"/>
      <c r="AC537" s="1"/>
      <c r="AD537" s="1"/>
      <c r="AE537" s="13"/>
    </row>
    <row r="538" spans="2:31" ht="15" customHeight="1">
      <c r="B538" s="103"/>
      <c r="C538" s="489" t="s">
        <v>483</v>
      </c>
      <c r="D538" s="489"/>
      <c r="E538" s="489"/>
      <c r="F538" s="489"/>
      <c r="G538" s="489"/>
      <c r="H538" s="489"/>
      <c r="I538" s="489"/>
      <c r="J538" s="489"/>
      <c r="K538" s="489"/>
      <c r="L538" s="489"/>
      <c r="M538" s="489"/>
      <c r="N538" s="489"/>
      <c r="O538" s="489"/>
      <c r="P538" s="1"/>
      <c r="T538" s="25"/>
      <c r="U538" s="490" t="s">
        <v>20</v>
      </c>
      <c r="V538" s="490"/>
      <c r="W538" s="490"/>
      <c r="X538" s="1"/>
      <c r="Y538" s="390" t="s">
        <v>6</v>
      </c>
      <c r="Z538" s="390"/>
      <c r="AA538" s="390"/>
      <c r="AB538" s="390" t="s">
        <v>23</v>
      </c>
      <c r="AC538" s="390"/>
      <c r="AD538" s="390"/>
      <c r="AE538" s="26" t="s">
        <v>24</v>
      </c>
    </row>
    <row r="539" spans="2:31" ht="15.75" customHeight="1">
      <c r="B539" s="103"/>
      <c r="C539" s="387"/>
      <c r="D539" s="60" t="s">
        <v>435</v>
      </c>
      <c r="E539" s="387"/>
      <c r="F539" s="387"/>
      <c r="G539" s="387"/>
      <c r="H539" s="387"/>
      <c r="I539" s="387"/>
      <c r="J539" s="387"/>
      <c r="K539" s="387"/>
      <c r="L539" s="387"/>
      <c r="M539" s="387"/>
      <c r="N539" s="387"/>
      <c r="O539" s="387"/>
      <c r="P539" s="1"/>
      <c r="T539" s="25"/>
      <c r="U539" s="390"/>
      <c r="V539" s="390"/>
      <c r="W539" s="390"/>
      <c r="X539" s="1"/>
      <c r="Y539" s="390"/>
      <c r="Z539" s="390"/>
      <c r="AA539" s="390"/>
      <c r="AB539" s="390"/>
      <c r="AC539" s="390"/>
      <c r="AD539" s="390"/>
      <c r="AE539" s="26"/>
    </row>
    <row r="540" spans="2:31" ht="15.75">
      <c r="B540" s="103"/>
      <c r="C540" s="387"/>
      <c r="D540" s="60"/>
      <c r="E540" s="387"/>
      <c r="F540" s="387"/>
      <c r="G540" s="387"/>
      <c r="H540" s="387"/>
      <c r="I540" s="387"/>
      <c r="J540" s="387"/>
      <c r="K540" s="387"/>
      <c r="L540" s="387"/>
      <c r="M540" s="387"/>
      <c r="N540" s="387"/>
      <c r="O540" s="387"/>
      <c r="P540" s="1"/>
      <c r="T540" s="491" t="s">
        <v>484</v>
      </c>
      <c r="U540" s="490"/>
      <c r="V540" s="490"/>
      <c r="W540" s="490"/>
      <c r="X540" s="1"/>
      <c r="Y540" s="7">
        <f>'Mon Entreprise'!I134</f>
        <v>0</v>
      </c>
      <c r="Z540" s="133"/>
      <c r="AA540" s="21"/>
      <c r="AB540" s="7">
        <f>IF('Mon Entreprise'!I134-'Mon Entreprise'!M134&lt;0,0,'Mon Entreprise'!I134-'Mon Entreprise'!M134)</f>
        <v>0</v>
      </c>
      <c r="AC540" s="13"/>
      <c r="AD540" s="1"/>
      <c r="AE540" s="27">
        <f>IFERROR(1-'Mon Entreprise'!M134/'Mon Entreprise'!I134,0)</f>
        <v>0</v>
      </c>
    </row>
    <row r="541" spans="2:31" ht="15.75" hidden="1">
      <c r="B541" s="103"/>
      <c r="C541" s="387"/>
      <c r="D541" s="492" t="str">
        <f>IFERROR(IF(AND(AB583=0,AB584=0,AB585=0),"Vous ne pouvez pas bénéficier du fonds de solidarité pour le mois de Juillet 2021",IF(AND(AB585&gt;AB584,AB585&gt;AB583),"Votre entreprise peut bénéficier d'une aide de "&amp;AB585&amp;" €, au titre d'une fermeture Administrative avec une perte de 20 % de CA",IF(AB584&gt;AB583,"Votre entreprise peut bénéficier d'une aide de "&amp;AB584&amp;" €, au titre des entreprises ayant leur activité mentionnée en annexe 1, ou en annexe 2, avec une perte de CA "&amp;"d'au moins 80 % entre le 15/03/2020 et le 15/05/2020 ou au mois de Novembre 2020 ou une perte de 10 % entre 2019 et 2020, ou domicilié dans les îles d'outre-mer","Votre entreprise peut bénéficier d'une aide de "&amp;AB583&amp;" €, au titre d'une fermeture administrative d'au moins 10 jours et d'une perte d'au-moins 50 % de votre CA en Juillet 2021"))),"Vous n'avez pas indiqué de chiffre d'affaires de référence")</f>
        <v>Vous ne pouvez pas bénéficier du fonds de solidarité pour le mois de Juillet 2021</v>
      </c>
      <c r="E541" s="493"/>
      <c r="F541" s="493"/>
      <c r="G541" s="493"/>
      <c r="H541" s="493"/>
      <c r="I541" s="493"/>
      <c r="J541" s="493"/>
      <c r="K541" s="493"/>
      <c r="L541" s="493"/>
      <c r="M541" s="493"/>
      <c r="N541" s="493"/>
      <c r="O541" s="494"/>
      <c r="P541" s="1"/>
      <c r="T541" s="491" t="s">
        <v>25</v>
      </c>
      <c r="U541" s="490"/>
      <c r="V541" s="490"/>
      <c r="W541" s="490"/>
      <c r="X541" s="1"/>
      <c r="Y541" s="7">
        <f>'Mon Entreprise'!I98</f>
        <v>0</v>
      </c>
      <c r="Z541" s="133"/>
      <c r="AA541" s="21"/>
      <c r="AB541" s="7">
        <f>IF('Mon Entreprise'!I98-'Mon Entreprise'!M134&lt;0,0,'Mon Entreprise'!I98-'Mon Entreprise'!M134)</f>
        <v>0</v>
      </c>
      <c r="AC541" s="36"/>
      <c r="AD541" s="1"/>
      <c r="AE541" s="27">
        <f>IFERROR(1-'Mon Entreprise'!M134/'Mon Entreprise'!I98,0)</f>
        <v>0</v>
      </c>
    </row>
    <row r="542" spans="2:31" ht="15.75" hidden="1" customHeight="1">
      <c r="B542" s="103"/>
      <c r="C542" s="387"/>
      <c r="D542" s="495"/>
      <c r="E542" s="496"/>
      <c r="F542" s="496"/>
      <c r="G542" s="496"/>
      <c r="H542" s="496"/>
      <c r="I542" s="496"/>
      <c r="J542" s="496"/>
      <c r="K542" s="496"/>
      <c r="L542" s="496"/>
      <c r="M542" s="496"/>
      <c r="N542" s="496"/>
      <c r="O542" s="497"/>
      <c r="P542" s="1"/>
      <c r="T542" s="501" t="s">
        <v>22</v>
      </c>
      <c r="U542" s="502"/>
      <c r="V542" s="502"/>
      <c r="W542" s="502"/>
      <c r="X542" s="139"/>
      <c r="Y542" s="140" t="str">
        <f>IF('Mon Entreprise'!I148="","NC",'Mon Entreprise'!I148)</f>
        <v>NC</v>
      </c>
      <c r="Z542" s="191"/>
      <c r="AA542" s="192"/>
      <c r="AB542" s="143" t="str">
        <f>IFERROR(IF('Mon Entreprise'!I148-'Mon Entreprise'!M134&lt;0,0,'Mon Entreprise'!I148-'Mon Entreprise'!M134),"NC")</f>
        <v>NC</v>
      </c>
      <c r="AC542" s="193"/>
      <c r="AD542" s="139"/>
      <c r="AE542" s="146" t="str">
        <f>IFERROR(1-'Mon Entreprise'!M134/'Mon Entreprise'!I148,"NC")</f>
        <v>NC</v>
      </c>
    </row>
    <row r="543" spans="2:31" ht="15.75" hidden="1" customHeight="1">
      <c r="B543" s="103"/>
      <c r="C543" s="387"/>
      <c r="D543" s="495"/>
      <c r="E543" s="496"/>
      <c r="F543" s="496"/>
      <c r="G543" s="496"/>
      <c r="H543" s="496"/>
      <c r="I543" s="496"/>
      <c r="J543" s="496"/>
      <c r="K543" s="496"/>
      <c r="L543" s="496"/>
      <c r="M543" s="496"/>
      <c r="N543" s="496"/>
      <c r="O543" s="497"/>
      <c r="P543" s="1"/>
      <c r="T543" s="388"/>
      <c r="U543" s="385"/>
      <c r="V543" s="385"/>
      <c r="W543" s="385"/>
      <c r="X543" s="139"/>
      <c r="Y543" s="140"/>
      <c r="Z543" s="141"/>
      <c r="AA543" s="192"/>
      <c r="AB543" s="143"/>
      <c r="AC543" s="385"/>
      <c r="AD543" s="139"/>
      <c r="AE543" s="146"/>
    </row>
    <row r="544" spans="2:31" ht="15.75" hidden="1" customHeight="1">
      <c r="B544" s="103"/>
      <c r="C544" s="387"/>
      <c r="D544" s="495"/>
      <c r="E544" s="496"/>
      <c r="F544" s="496"/>
      <c r="G544" s="496"/>
      <c r="H544" s="496"/>
      <c r="I544" s="496"/>
      <c r="J544" s="496"/>
      <c r="K544" s="496"/>
      <c r="L544" s="496"/>
      <c r="M544" s="496"/>
      <c r="N544" s="496"/>
      <c r="O544" s="497"/>
      <c r="P544" s="1"/>
      <c r="T544" s="14"/>
      <c r="U544" s="1"/>
      <c r="V544" s="1"/>
      <c r="W544" s="1"/>
      <c r="X544" s="1"/>
      <c r="Y544" s="1"/>
      <c r="Z544" s="1"/>
      <c r="AA544" s="1"/>
      <c r="AB544" s="1"/>
      <c r="AC544" s="1"/>
      <c r="AD544" s="1"/>
      <c r="AE544" s="13"/>
    </row>
    <row r="545" spans="2:31" ht="15.75" hidden="1" customHeight="1">
      <c r="B545" s="103"/>
      <c r="C545" s="387"/>
      <c r="D545" s="495"/>
      <c r="E545" s="496"/>
      <c r="F545" s="496"/>
      <c r="G545" s="496"/>
      <c r="H545" s="496"/>
      <c r="I545" s="496"/>
      <c r="J545" s="496"/>
      <c r="K545" s="496"/>
      <c r="L545" s="496"/>
      <c r="M545" s="496"/>
      <c r="N545" s="496"/>
      <c r="O545" s="497"/>
      <c r="P545" s="1"/>
      <c r="T545" s="14"/>
      <c r="AC545" s="1"/>
      <c r="AD545" s="1"/>
      <c r="AE545" s="13"/>
    </row>
    <row r="546" spans="2:31" ht="15.75" hidden="1" customHeight="1" thickBot="1">
      <c r="B546" s="103"/>
      <c r="C546" s="387"/>
      <c r="D546" s="498"/>
      <c r="E546" s="499"/>
      <c r="F546" s="499"/>
      <c r="G546" s="499"/>
      <c r="H546" s="499"/>
      <c r="I546" s="499"/>
      <c r="J546" s="499"/>
      <c r="K546" s="499"/>
      <c r="L546" s="499"/>
      <c r="M546" s="499"/>
      <c r="N546" s="499"/>
      <c r="O546" s="500"/>
      <c r="P546" s="1"/>
      <c r="T546" s="14"/>
      <c r="AC546" s="1"/>
      <c r="AD546" s="1"/>
      <c r="AE546" s="13"/>
    </row>
    <row r="547" spans="2:31" ht="16.5" hidden="1" customHeight="1">
      <c r="B547" s="103"/>
      <c r="C547" s="387"/>
      <c r="D547" s="503" t="s">
        <v>493</v>
      </c>
      <c r="E547" s="503"/>
      <c r="F547" s="503"/>
      <c r="G547" s="503"/>
      <c r="H547" s="503"/>
      <c r="I547" s="503"/>
      <c r="J547" s="503"/>
      <c r="K547" s="503"/>
      <c r="L547" s="503"/>
      <c r="M547" s="503"/>
      <c r="N547" s="503"/>
      <c r="O547" s="503"/>
      <c r="P547" s="1"/>
      <c r="T547" s="14"/>
      <c r="AC547" s="1"/>
      <c r="AD547" s="1"/>
      <c r="AE547" s="13"/>
    </row>
    <row r="548" spans="2:31" ht="16.5" hidden="1" customHeight="1">
      <c r="B548" s="103"/>
      <c r="C548" s="387"/>
      <c r="D548" s="504"/>
      <c r="E548" s="504"/>
      <c r="F548" s="504"/>
      <c r="G548" s="504"/>
      <c r="H548" s="504"/>
      <c r="I548" s="504"/>
      <c r="J548" s="504"/>
      <c r="K548" s="504"/>
      <c r="L548" s="504"/>
      <c r="M548" s="504"/>
      <c r="N548" s="504"/>
      <c r="O548" s="504"/>
      <c r="P548" s="1"/>
      <c r="T548" s="14"/>
      <c r="AC548" s="1"/>
      <c r="AD548" s="1"/>
      <c r="AE548" s="13"/>
    </row>
    <row r="549" spans="2:31" ht="15.75">
      <c r="B549" s="103"/>
      <c r="C549" s="78"/>
      <c r="D549" s="78"/>
      <c r="E549" s="78"/>
      <c r="F549" s="78"/>
      <c r="G549" s="78"/>
      <c r="H549" s="78"/>
      <c r="I549" s="78"/>
      <c r="J549" s="78"/>
      <c r="K549" s="78"/>
      <c r="L549" s="78"/>
      <c r="M549" s="78"/>
      <c r="N549" s="78"/>
      <c r="O549" s="78"/>
      <c r="P549" s="1"/>
      <c r="T549" s="14"/>
      <c r="U549" s="1"/>
      <c r="V549" s="1"/>
      <c r="W549" s="1"/>
      <c r="X549" s="1"/>
      <c r="Y549" s="1"/>
      <c r="Z549" s="1"/>
      <c r="AA549" s="1"/>
      <c r="AB549" s="1"/>
      <c r="AC549" s="1"/>
      <c r="AD549" s="1"/>
      <c r="AE549" s="13"/>
    </row>
    <row r="550" spans="2:31" ht="15.75">
      <c r="B550" s="103"/>
      <c r="C550" s="387"/>
      <c r="D550" s="60"/>
      <c r="E550" s="387"/>
      <c r="F550" s="387"/>
      <c r="G550" s="387"/>
      <c r="H550" s="387"/>
      <c r="I550" s="387"/>
      <c r="J550" s="387"/>
      <c r="K550" s="387"/>
      <c r="L550" s="387"/>
      <c r="M550" s="387"/>
      <c r="N550" s="387"/>
      <c r="O550" s="387"/>
      <c r="P550" s="1"/>
      <c r="T550" s="14"/>
      <c r="U550" s="1"/>
      <c r="V550" s="1"/>
      <c r="W550" s="1"/>
      <c r="X550" s="1"/>
      <c r="Y550" s="1"/>
      <c r="Z550" s="1"/>
      <c r="AA550" s="1"/>
      <c r="AB550" s="1"/>
      <c r="AC550" s="1"/>
      <c r="AD550" s="1"/>
      <c r="AE550" s="13"/>
    </row>
    <row r="551" spans="2:31" ht="15.75">
      <c r="B551" s="103"/>
      <c r="C551" s="505" t="s">
        <v>492</v>
      </c>
      <c r="D551" s="505"/>
      <c r="E551" s="505"/>
      <c r="F551" s="505"/>
      <c r="G551" s="505"/>
      <c r="H551" s="505"/>
      <c r="I551" s="505"/>
      <c r="J551" s="505"/>
      <c r="K551" s="505"/>
      <c r="L551" s="505"/>
      <c r="M551" s="505"/>
      <c r="N551" s="505"/>
      <c r="O551" s="505"/>
      <c r="P551" s="1"/>
      <c r="T551" s="14"/>
      <c r="U551" s="1"/>
      <c r="V551" s="1"/>
      <c r="W551" s="1"/>
      <c r="X551" s="1"/>
      <c r="Y551" s="1"/>
      <c r="Z551" s="1"/>
      <c r="AA551" s="1"/>
      <c r="AB551" s="1"/>
      <c r="AC551" s="1"/>
      <c r="AD551" s="1"/>
      <c r="AE551" s="13"/>
    </row>
    <row r="552" spans="2:31" ht="15.75">
      <c r="B552" s="103"/>
      <c r="C552" s="505"/>
      <c r="D552" s="505"/>
      <c r="E552" s="505"/>
      <c r="F552" s="505"/>
      <c r="G552" s="505"/>
      <c r="H552" s="505"/>
      <c r="I552" s="505"/>
      <c r="J552" s="505"/>
      <c r="K552" s="505"/>
      <c r="L552" s="505"/>
      <c r="M552" s="505"/>
      <c r="N552" s="505"/>
      <c r="O552" s="505"/>
      <c r="P552" s="1"/>
      <c r="T552" s="14"/>
      <c r="U552" s="506" t="s">
        <v>72</v>
      </c>
      <c r="V552" s="506"/>
      <c r="W552" s="506"/>
      <c r="X552" s="506"/>
      <c r="Y552" s="506"/>
      <c r="Z552" s="1"/>
      <c r="AA552" s="14"/>
      <c r="AB552" s="385" t="str">
        <f>IF('Mon Entreprise'!K8&lt;=Annexes!R15,"Oui","Non")</f>
        <v>Oui</v>
      </c>
      <c r="AC552" s="1"/>
      <c r="AD552" s="1"/>
      <c r="AE552" s="13"/>
    </row>
    <row r="553" spans="2:31" ht="15.75">
      <c r="B553" s="168"/>
      <c r="C553" s="387"/>
      <c r="D553" s="60" t="str">
        <f>IFERROR(IF('Mon Entreprise'!K8&gt;=Annexes!O20,IF(AB540&gt;=AB542,"Le CA de référence est celui de Juillet 2019, soit une perte de "&amp;ROUND(AB540,0)&amp;" €"&amp;" ==&gt; "&amp;ROUND(AE540*100,0)&amp;" %","Le CA de référence est celui de la création, soit une perte de "&amp;ROUND(AB542,0)&amp;" €"&amp;" ==&gt; "&amp;ROUND(AE542*100,0)&amp;" %"),IF(AB540&gt;=AB541,"Le CA de référence est celui de Juillet 2019, soit une perte de "&amp;ROUND(AB540,0)&amp;" €"&amp;" ==&gt; "&amp;ROUND(AE540*100,0)&amp;" %","Le CA de référence est celui de l'exercice 2019, soit une perte de "&amp;ROUND(AB541,0)&amp;" €"&amp;" ==&gt; "&amp;ROUND(AE541*100,0)&amp;" %")),"")</f>
        <v>Le CA de référence est celui de Juillet 2019, soit une perte de 0 € ==&gt; 0 %</v>
      </c>
      <c r="E553" s="387"/>
      <c r="F553" s="387"/>
      <c r="G553" s="387"/>
      <c r="H553" s="387"/>
      <c r="I553" s="387"/>
      <c r="J553" s="387"/>
      <c r="K553" s="387"/>
      <c r="L553" s="387"/>
      <c r="M553" s="387"/>
      <c r="N553" s="387"/>
      <c r="O553" s="387"/>
      <c r="P553" s="1"/>
      <c r="T553" s="14"/>
      <c r="U553" s="386"/>
      <c r="V553" s="506" t="s">
        <v>393</v>
      </c>
      <c r="W553" s="506"/>
      <c r="X553" s="506"/>
      <c r="Y553" s="506"/>
      <c r="Z553" s="1"/>
      <c r="AA553" s="14"/>
      <c r="AB553" s="385">
        <f>IF('Mon Entreprise'!K8&gt;=Annexes!O20,IF(Y540&gt;=Y542,Y540,Y542),IF(Y540&gt;=Y541,Y540,Y541))</f>
        <v>0</v>
      </c>
      <c r="AC553" s="1"/>
      <c r="AD553" s="1"/>
      <c r="AE553" s="13"/>
    </row>
    <row r="554" spans="2:31" ht="15.75" customHeight="1">
      <c r="B554" s="168"/>
      <c r="C554" s="387"/>
      <c r="D554" s="507" t="str">
        <f>IFERROR(IF('Mon Entreprise'!K8&gt;=Annexes!O20,"",IF(AB540&lt;AB541,"A noter qu'il convient de choisir l'option retenue par l'entreprise lors de sa demande au titre du mois Février 2021, ou a défaut celui du mois de Mars, d'Avril, Mai, ou Juin 2021, si le CA de référence était celui de février 2019 (...),"&amp;" il convient de prendre"&amp;" celui de Juillet 2019, soit "&amp;ROUND(AB540,0)&amp;" €"&amp;" ==&gt; "&amp;ROUND(AE540*100,0)&amp;" %","A noter qu'il convient de choisir l'option retenue par l'entreprise lors de sa demande au titre du mois Février 2021, ou "&amp;"a défaut celui du mois de Mars, d'Avril, Mai, ou Juin 2021, si"&amp;" le CA de référence était celui de l'exercice 2019, il convient de prendre celui de l'exercie 2019, soit une perte de "&amp;ROUND(AB541,0)&amp;" €"&amp;" ==&gt; "&amp;ROUND(AE541*100,0)&amp;" %")),"")</f>
        <v>A noter qu'il convient de choisir l'option retenue par l'entreprise lors de sa demande au titre du mois Février 2021, ou a défaut celui du mois de Mars, d'Avril, Mai, ou Juin 2021, si le CA de référence était celui de l'exercice 2019, il convient de prendre celui de l'exercie 2019, soit une perte de 0 € ==&gt; 0 %</v>
      </c>
      <c r="E554" s="507"/>
      <c r="F554" s="507"/>
      <c r="G554" s="507"/>
      <c r="H554" s="507"/>
      <c r="I554" s="507"/>
      <c r="J554" s="507"/>
      <c r="K554" s="507"/>
      <c r="L554" s="507"/>
      <c r="M554" s="507"/>
      <c r="N554" s="507"/>
      <c r="O554" s="507"/>
      <c r="P554" s="1"/>
      <c r="T554" s="14"/>
      <c r="U554" s="506" t="s">
        <v>84</v>
      </c>
      <c r="V554" s="506"/>
      <c r="W554" s="506"/>
      <c r="X554" s="506"/>
      <c r="Y554" s="506"/>
      <c r="Z554" s="1"/>
      <c r="AA554" s="14"/>
      <c r="AB554" s="381">
        <f>IF('Mon Entreprise'!K8&gt;=Annexes!O20,IF(AB540&gt;=AB542,AB540,AB542),IF(AB540&gt;=AB541,AB540,AB541))</f>
        <v>0</v>
      </c>
      <c r="AC554" s="1"/>
      <c r="AD554" s="1"/>
      <c r="AE554" s="13"/>
    </row>
    <row r="555" spans="2:31" ht="15.75">
      <c r="B555" s="168"/>
      <c r="C555" s="387"/>
      <c r="D555" s="507"/>
      <c r="E555" s="507"/>
      <c r="F555" s="507"/>
      <c r="G555" s="507"/>
      <c r="H555" s="507"/>
      <c r="I555" s="507"/>
      <c r="J555" s="507"/>
      <c r="K555" s="507"/>
      <c r="L555" s="507"/>
      <c r="M555" s="507"/>
      <c r="N555" s="507"/>
      <c r="O555" s="507"/>
      <c r="P555" s="1"/>
      <c r="T555" s="14"/>
      <c r="U555" s="506" t="s">
        <v>85</v>
      </c>
      <c r="V555" s="506"/>
      <c r="W555" s="506"/>
      <c r="X555" s="506"/>
      <c r="Y555" s="506"/>
      <c r="Z555" s="1"/>
      <c r="AA555" s="14"/>
      <c r="AB555" s="19">
        <f>IF('Mon Entreprise'!K8&gt;=Annexes!O20,IF(AB540&gt;=AB542,AE540,AE542),IF(AB540&gt;=AB541,AE540,AE541))</f>
        <v>0</v>
      </c>
      <c r="AC555" s="1"/>
      <c r="AD555" s="1"/>
      <c r="AE555" s="13"/>
    </row>
    <row r="556" spans="2:31" ht="15.75">
      <c r="B556" s="168"/>
      <c r="C556" s="387"/>
      <c r="D556" s="507"/>
      <c r="E556" s="507"/>
      <c r="F556" s="507"/>
      <c r="G556" s="507"/>
      <c r="H556" s="507"/>
      <c r="I556" s="507"/>
      <c r="J556" s="507"/>
      <c r="K556" s="507"/>
      <c r="L556" s="507"/>
      <c r="M556" s="507"/>
      <c r="N556" s="507"/>
      <c r="O556" s="507"/>
      <c r="P556" s="1"/>
      <c r="T556" s="14"/>
      <c r="U556" s="386"/>
      <c r="V556" s="386"/>
      <c r="W556" s="386"/>
      <c r="X556" s="386"/>
      <c r="Y556" s="386"/>
      <c r="Z556" s="1"/>
      <c r="AA556" s="1"/>
      <c r="AB556" s="19"/>
      <c r="AC556" s="1"/>
      <c r="AD556" s="1"/>
      <c r="AE556" s="13"/>
    </row>
    <row r="557" spans="2:31" ht="16.5" thickBot="1">
      <c r="B557" s="103"/>
      <c r="C557" s="387"/>
      <c r="D557" s="60" t="s">
        <v>7</v>
      </c>
      <c r="E557" s="387"/>
      <c r="F557" s="387"/>
      <c r="G557" s="387"/>
      <c r="H557" s="387"/>
      <c r="I557" s="387"/>
      <c r="J557" s="387"/>
      <c r="K557" s="387"/>
      <c r="L557" s="387"/>
      <c r="M557" s="387"/>
      <c r="N557" s="387"/>
      <c r="O557" s="387"/>
      <c r="P557" s="1"/>
      <c r="T557" s="14"/>
      <c r="U557" s="1"/>
      <c r="V557" s="1"/>
      <c r="W557" s="1"/>
      <c r="X557" s="1"/>
      <c r="Y557" s="1"/>
      <c r="Z557" s="1"/>
      <c r="AA557" s="1"/>
      <c r="AB557" s="1"/>
      <c r="AC557" s="1"/>
      <c r="AD557" s="1"/>
      <c r="AE557" s="13"/>
    </row>
    <row r="558" spans="2:31" ht="15.75">
      <c r="B558" s="168"/>
      <c r="C558" s="387"/>
      <c r="D558" s="508" t="str">
        <f>IFERROR(IF(AB552="Non","Vous avez débuté votre activité après le 31 Janvier 2020, vous ne pouvez donc pas bénéficier de cette aide",IF(AND(AB571=TRUE,AB555&gt;=0.5),IF(AB554&gt;Annexes!O5,"Dans votre cas, l'aide est Plafonnée, à "&amp;Annexes!O5&amp;" € pour le mois de Juillet","Vous pouvez bénéficier, au titre de cette aide, d'un montant de "&amp;ROUND(AB554,0)&amp;" € pour le mois de Juillet"),"L'entreprise n'a pas une perte d'au moins 50 % en Juillet 2021 ou n'a pas été en fermeture Administrative au moins 10 Jours")),"Vous n'avez pas indiqué de chiffre d'affaires de référence")</f>
        <v>L'entreprise n'a pas une perte d'au moins 50 % en Juillet 2021 ou n'a pas été en fermeture Administrative au moins 10 Jours</v>
      </c>
      <c r="E558" s="509"/>
      <c r="F558" s="509"/>
      <c r="G558" s="509"/>
      <c r="H558" s="509"/>
      <c r="I558" s="509"/>
      <c r="J558" s="509"/>
      <c r="K558" s="509"/>
      <c r="L558" s="509"/>
      <c r="M558" s="509"/>
      <c r="N558" s="509"/>
      <c r="O558" s="510"/>
      <c r="P558" s="1"/>
      <c r="T558" s="14"/>
      <c r="U558" s="1"/>
      <c r="V558" s="1"/>
      <c r="W558" s="1"/>
      <c r="X558" s="1"/>
      <c r="Y558" s="1"/>
      <c r="Z558" s="1"/>
      <c r="AA558" s="1"/>
      <c r="AB558" s="1"/>
      <c r="AC558" s="1"/>
      <c r="AD558" s="1"/>
      <c r="AE558" s="13"/>
    </row>
    <row r="559" spans="2:31" ht="15.75" customHeight="1">
      <c r="B559" s="168"/>
      <c r="C559" s="387"/>
      <c r="D559" s="511"/>
      <c r="E559" s="512"/>
      <c r="F559" s="512"/>
      <c r="G559" s="512"/>
      <c r="H559" s="512"/>
      <c r="I559" s="512"/>
      <c r="J559" s="512"/>
      <c r="K559" s="512"/>
      <c r="L559" s="512"/>
      <c r="M559" s="512"/>
      <c r="N559" s="512"/>
      <c r="O559" s="513"/>
      <c r="P559" s="1"/>
      <c r="T559" s="14"/>
      <c r="U559" s="1"/>
      <c r="V559" s="1"/>
      <c r="W559" s="1"/>
      <c r="X559" s="1"/>
      <c r="Y559" s="1"/>
      <c r="Z559" s="1"/>
      <c r="AA559" s="1"/>
      <c r="AB559" s="1"/>
      <c r="AC559" s="1"/>
      <c r="AD559" s="1"/>
      <c r="AE559" s="13"/>
    </row>
    <row r="560" spans="2:31" ht="15.75" customHeight="1">
      <c r="B560" s="103"/>
      <c r="C560" s="387"/>
      <c r="D560" s="511"/>
      <c r="E560" s="512"/>
      <c r="F560" s="512"/>
      <c r="G560" s="512"/>
      <c r="H560" s="512"/>
      <c r="I560" s="512"/>
      <c r="J560" s="512"/>
      <c r="K560" s="512"/>
      <c r="L560" s="512"/>
      <c r="M560" s="512"/>
      <c r="N560" s="512"/>
      <c r="O560" s="513"/>
      <c r="P560" s="1"/>
      <c r="T560" s="14"/>
      <c r="U560" s="1"/>
      <c r="V560" s="1"/>
      <c r="W560" s="1"/>
      <c r="X560" s="1"/>
      <c r="Y560" s="1"/>
      <c r="Z560" s="1"/>
      <c r="AA560" s="1"/>
      <c r="AB560" s="1"/>
      <c r="AC560" s="1"/>
      <c r="AD560" s="1"/>
      <c r="AE560" s="13"/>
    </row>
    <row r="561" spans="1:31" ht="15.75" customHeight="1" thickBot="1">
      <c r="B561" s="103"/>
      <c r="C561" s="387"/>
      <c r="D561" s="514"/>
      <c r="E561" s="515"/>
      <c r="F561" s="515"/>
      <c r="G561" s="515"/>
      <c r="H561" s="515"/>
      <c r="I561" s="515"/>
      <c r="J561" s="515"/>
      <c r="K561" s="515"/>
      <c r="L561" s="515"/>
      <c r="M561" s="515"/>
      <c r="N561" s="515"/>
      <c r="O561" s="516"/>
      <c r="P561" s="1"/>
      <c r="T561" s="14"/>
      <c r="U561" s="1"/>
      <c r="V561" s="1"/>
      <c r="W561" s="1"/>
      <c r="X561" s="1"/>
      <c r="Y561" s="1"/>
      <c r="Z561" s="1"/>
      <c r="AA561" s="1"/>
      <c r="AB561" s="1"/>
      <c r="AC561" s="1"/>
      <c r="AD561" s="1"/>
      <c r="AE561" s="13"/>
    </row>
    <row r="562" spans="1:31" ht="16.5" customHeight="1">
      <c r="B562" s="103"/>
      <c r="C562" s="169"/>
      <c r="D562" s="517"/>
      <c r="E562" s="517"/>
      <c r="F562" s="517"/>
      <c r="G562" s="517"/>
      <c r="H562" s="517"/>
      <c r="I562" s="517"/>
      <c r="J562" s="517"/>
      <c r="K562" s="517"/>
      <c r="L562" s="517"/>
      <c r="M562" s="517"/>
      <c r="N562" s="517"/>
      <c r="O562" s="517"/>
      <c r="P562" s="1"/>
      <c r="T562" s="518" t="s">
        <v>4</v>
      </c>
      <c r="U562" s="519"/>
      <c r="V562" s="519"/>
      <c r="W562" s="519"/>
      <c r="X562" s="519"/>
      <c r="Y562" s="519"/>
      <c r="Z562" s="139"/>
      <c r="AA562" s="145"/>
      <c r="AB562" s="194">
        <f>IFERROR(IF('Mon Entreprise'!K8&gt;=Annexes!Q18,0,1-'Mon Entreprise'!M118/2/AB553),0)</f>
        <v>0</v>
      </c>
      <c r="AC562" s="1"/>
      <c r="AD562" s="1"/>
      <c r="AE562" s="13"/>
    </row>
    <row r="563" spans="1:31" ht="16.5" customHeight="1">
      <c r="B563" s="103"/>
      <c r="C563" s="387"/>
      <c r="D563" s="306"/>
      <c r="E563" s="306"/>
      <c r="F563" s="306"/>
      <c r="G563" s="306"/>
      <c r="H563" s="306"/>
      <c r="I563" s="306"/>
      <c r="J563" s="306"/>
      <c r="K563" s="306"/>
      <c r="L563" s="306"/>
      <c r="M563" s="306"/>
      <c r="N563" s="306"/>
      <c r="O563" s="306"/>
      <c r="P563" s="1"/>
      <c r="T563" s="110"/>
      <c r="U563" s="520" t="s">
        <v>102</v>
      </c>
      <c r="V563" s="520"/>
      <c r="W563" s="520"/>
      <c r="X563" s="520"/>
      <c r="Y563" s="520"/>
      <c r="Z563" s="139"/>
      <c r="AA563" s="145"/>
      <c r="AB563" s="194">
        <f>IFERROR(IF('Mon Entreprise'!K8&gt;Annexes!Q29,0,IF('Mon Entreprise'!K8&gt;Annexes!Q26,1,1-'Mon Entreprise'!M114/AB553)),0)</f>
        <v>0</v>
      </c>
      <c r="AC563" s="1"/>
      <c r="AD563" s="1"/>
      <c r="AE563" s="13"/>
    </row>
    <row r="564" spans="1:31" ht="16.5" customHeight="1">
      <c r="B564" s="103"/>
      <c r="C564" s="505" t="s">
        <v>514</v>
      </c>
      <c r="D564" s="505"/>
      <c r="E564" s="505"/>
      <c r="F564" s="505"/>
      <c r="G564" s="505"/>
      <c r="H564" s="505"/>
      <c r="I564" s="505"/>
      <c r="J564" s="505"/>
      <c r="K564" s="505"/>
      <c r="L564" s="505"/>
      <c r="M564" s="505"/>
      <c r="N564" s="505"/>
      <c r="O564" s="505"/>
      <c r="P564" s="1"/>
      <c r="T564" s="110"/>
      <c r="U564" s="520" t="s">
        <v>109</v>
      </c>
      <c r="V564" s="520"/>
      <c r="W564" s="520"/>
      <c r="X564" s="520"/>
      <c r="Y564" s="520"/>
      <c r="Z564" s="139"/>
      <c r="AA564" s="145"/>
      <c r="AB564" s="194">
        <f>IFERROR(IF(Annexes!O27&gt;'Mon Entreprise'!K8,1-'Mon Entreprise'!M98/'Mon Entreprise'!I98,0),0)</f>
        <v>0</v>
      </c>
      <c r="AC564" s="1"/>
      <c r="AD564" s="1"/>
      <c r="AE564" s="13"/>
    </row>
    <row r="565" spans="1:31" ht="16.5" customHeight="1">
      <c r="B565" s="103"/>
      <c r="C565" s="505"/>
      <c r="D565" s="505"/>
      <c r="E565" s="505"/>
      <c r="F565" s="505"/>
      <c r="G565" s="505"/>
      <c r="H565" s="505"/>
      <c r="I565" s="505"/>
      <c r="J565" s="505"/>
      <c r="K565" s="505"/>
      <c r="L565" s="505"/>
      <c r="M565" s="505"/>
      <c r="N565" s="505"/>
      <c r="O565" s="505"/>
      <c r="P565" s="1"/>
      <c r="T565" s="110"/>
      <c r="U565" s="382"/>
      <c r="V565" s="382"/>
      <c r="W565" s="382"/>
      <c r="X565" s="382"/>
      <c r="Y565" s="382"/>
      <c r="Z565" s="139"/>
      <c r="AA565" s="145"/>
      <c r="AB565" s="194"/>
      <c r="AC565" s="1"/>
      <c r="AD565" s="1"/>
      <c r="AE565" s="13"/>
    </row>
    <row r="566" spans="1:31" ht="16.5" customHeight="1">
      <c r="B566" s="103"/>
      <c r="C566" s="505"/>
      <c r="D566" s="505"/>
      <c r="E566" s="505"/>
      <c r="F566" s="505"/>
      <c r="G566" s="505"/>
      <c r="H566" s="505"/>
      <c r="I566" s="505"/>
      <c r="J566" s="505"/>
      <c r="K566" s="505"/>
      <c r="L566" s="505"/>
      <c r="M566" s="505"/>
      <c r="N566" s="505"/>
      <c r="O566" s="505"/>
      <c r="P566" s="1"/>
      <c r="T566" s="110"/>
      <c r="U566" s="382"/>
      <c r="V566" s="382"/>
      <c r="W566" s="382"/>
      <c r="X566" s="382"/>
      <c r="Y566" s="382"/>
      <c r="Z566" s="139"/>
      <c r="AA566" s="145"/>
      <c r="AB566" s="194"/>
      <c r="AC566" s="1"/>
      <c r="AD566" s="1"/>
      <c r="AE566" s="13"/>
    </row>
    <row r="567" spans="1:31" ht="16.5" customHeight="1">
      <c r="B567" s="103"/>
      <c r="C567" s="505"/>
      <c r="D567" s="505"/>
      <c r="E567" s="505"/>
      <c r="F567" s="505"/>
      <c r="G567" s="505"/>
      <c r="H567" s="505"/>
      <c r="I567" s="505"/>
      <c r="J567" s="505"/>
      <c r="K567" s="505"/>
      <c r="L567" s="505"/>
      <c r="M567" s="505"/>
      <c r="N567" s="505"/>
      <c r="O567" s="505"/>
      <c r="P567" s="1"/>
      <c r="T567" s="14"/>
      <c r="U567" s="521" t="s">
        <v>8</v>
      </c>
      <c r="V567" s="521"/>
      <c r="W567" s="521"/>
      <c r="X567" s="521"/>
      <c r="Y567" s="521"/>
      <c r="Z567" s="1"/>
      <c r="AA567" s="14"/>
      <c r="AB567" s="381" t="str">
        <f>IF((AND(Annexes!F5&gt;1,Annexes!F5&lt;=Annexes!H6,AB574&gt;=0.1)),"OUI","NON")</f>
        <v>NON</v>
      </c>
      <c r="AC567" s="1"/>
      <c r="AD567" s="1"/>
      <c r="AE567" s="13"/>
    </row>
    <row r="568" spans="1:31" ht="27" customHeight="1">
      <c r="B568" s="103"/>
      <c r="C568" s="352"/>
      <c r="D568" s="564" t="s">
        <v>513</v>
      </c>
      <c r="E568" s="564"/>
      <c r="F568" s="564"/>
      <c r="G568" s="564"/>
      <c r="H568" s="564"/>
      <c r="I568" s="564"/>
      <c r="J568" s="564"/>
      <c r="K568" s="564"/>
      <c r="L568" s="564"/>
      <c r="M568" s="564"/>
      <c r="N568" s="564"/>
      <c r="O568" s="564"/>
      <c r="P568" s="1"/>
      <c r="T568" s="14"/>
      <c r="U568" s="383"/>
      <c r="V568" s="383"/>
      <c r="W568" s="383"/>
      <c r="X568" s="383"/>
      <c r="Y568" s="383" t="s">
        <v>9</v>
      </c>
      <c r="Z568" s="1"/>
      <c r="AA568" s="14"/>
      <c r="AB568" s="381" t="str">
        <f>IF(AND(Annexes!F7&gt;1,Annexes!F7&lt;=Annexes!H8,AB574&gt;=0.1),"OUI","NON")</f>
        <v>NON</v>
      </c>
      <c r="AC568" s="1"/>
      <c r="AD568" s="1"/>
      <c r="AE568" s="13"/>
    </row>
    <row r="569" spans="1:31" ht="16.5" customHeight="1">
      <c r="B569" s="103"/>
      <c r="C569" s="387"/>
      <c r="D569" s="306"/>
      <c r="E569" s="522" t="str">
        <f>IF(AB572="NON","",IF(OR(AB567="OUI",AB569="OUI",AND(AB568="OUI",OR(AB562&gt;=Annexes!P5,AB563&gt;=Annexes!P5,'Mes Aides'!AB145&gt;=0.1))),"",IF(AND(AB568="OUI",OR(AB562&lt;Annexes!P5,AB563&lt;Annexes!P5,'Mes Aides'!AB198&lt;0.1)),"L'entreprise fait partie des entreprises mentionnées en annexe 2 du décret mais n'a pas eu une perte de CA d'au-Moins 80 %, entre le 15/03/2020 et le 15/05/2020 ou Novembre 2020 ou 10 % entre 2019 et 2020","L'entreprise ne fait pas partie des activités mentionnées aux annexes 1, 2 ou domicilé dans une des îles d'outre-mer.")))</f>
        <v>L'entreprise ne fait pas partie des activités mentionnées aux annexes 1, 2 ou domicilé dans une des îles d'outre-mer.</v>
      </c>
      <c r="F569" s="522"/>
      <c r="G569" s="522"/>
      <c r="H569" s="522"/>
      <c r="I569" s="522"/>
      <c r="J569" s="522"/>
      <c r="K569" s="522"/>
      <c r="L569" s="522"/>
      <c r="M569" s="522"/>
      <c r="N569" s="522"/>
      <c r="O569" s="522"/>
      <c r="P569" s="1"/>
      <c r="T569" s="491" t="s">
        <v>474</v>
      </c>
      <c r="U569" s="490"/>
      <c r="V569" s="490"/>
      <c r="W569" s="490"/>
      <c r="X569" s="490"/>
      <c r="Y569" s="490"/>
      <c r="Z569" s="1"/>
      <c r="AA569" s="14"/>
      <c r="AB569" s="381" t="str">
        <f>IF(AND(Annexes!M24=TRUE,AB574&gt;=0.1),"OUI","NON")</f>
        <v>NON</v>
      </c>
      <c r="AC569" s="1"/>
      <c r="AD569" s="1"/>
      <c r="AE569" s="13"/>
    </row>
    <row r="570" spans="1:31" ht="16.5" customHeight="1">
      <c r="B570" s="103"/>
      <c r="C570" s="387"/>
      <c r="D570" s="306"/>
      <c r="E570" s="522"/>
      <c r="F570" s="522"/>
      <c r="G570" s="522"/>
      <c r="H570" s="522"/>
      <c r="I570" s="522"/>
      <c r="J570" s="522"/>
      <c r="K570" s="522"/>
      <c r="L570" s="522"/>
      <c r="M570" s="522"/>
      <c r="N570" s="522"/>
      <c r="O570" s="522"/>
      <c r="P570" s="1"/>
      <c r="T570" s="14"/>
      <c r="U570" s="490" t="s">
        <v>313</v>
      </c>
      <c r="V570" s="490"/>
      <c r="W570" s="490"/>
      <c r="X570" s="490"/>
      <c r="Y570" s="490"/>
      <c r="Z570" s="1"/>
      <c r="AA570" s="14"/>
      <c r="AB570" s="381" t="b">
        <f>IF(AND(Annexes!M38=TRUE,AB574&gt;=0.2),TRUE,FALSE)</f>
        <v>0</v>
      </c>
      <c r="AC570" s="1"/>
      <c r="AD570" s="1"/>
      <c r="AE570" s="13"/>
    </row>
    <row r="571" spans="1:31" ht="16.5" customHeight="1">
      <c r="A571" s="99"/>
      <c r="B571" s="103"/>
      <c r="C571" s="387"/>
      <c r="D571" s="523" t="str">
        <f>IFERROR(IF('Mon Entreprise'!K8&gt;=Annexes!O20,IF(AB540&gt;=AB542,"- Le CA de référence est celui de Juillet 2019, soit une perte de "&amp;ROUND(AB540,0)&amp;" €"&amp;" ==&gt; "&amp;ROUND(AE540*100,0)&amp;" %","- Le CA de référence est celui de la création, soit une perte de "&amp;ROUND(AB542,0)&amp;" €"&amp;" ==&gt; "&amp;ROUND(AE542*100,0)&amp;" %"),IF(AB540&gt;=AB541,"- Le CA de référence est celui de Juillet 2019, soit une perte de "&amp;ROUND(AB540,0)&amp;" €"&amp;" ==&gt; "&amp;ROUND(AE540*100,0)&amp;" %","- Le CA de référence est celui de l'exercice 2019, soit une perte de "&amp;ROUND(AB541,0)&amp;" €"&amp;" ==&gt; "&amp;ROUND(AE541*100,0)&amp;" %")),"")</f>
        <v>- Le CA de référence est celui de Juillet 2019, soit une perte de 0 € ==&gt; 0 %</v>
      </c>
      <c r="E571" s="523"/>
      <c r="F571" s="523"/>
      <c r="G571" s="523"/>
      <c r="H571" s="523"/>
      <c r="I571" s="523"/>
      <c r="J571" s="523"/>
      <c r="K571" s="523"/>
      <c r="L571" s="523"/>
      <c r="M571" s="523"/>
      <c r="N571" s="523"/>
      <c r="O571" s="523"/>
      <c r="P571" s="1"/>
      <c r="T571" s="14"/>
      <c r="U571" s="381"/>
      <c r="V571" s="381"/>
      <c r="W571" s="381"/>
      <c r="X571" s="381"/>
      <c r="Y571" s="381" t="s">
        <v>491</v>
      </c>
      <c r="Z571" s="1"/>
      <c r="AA571" s="14"/>
      <c r="AB571" s="381" t="b">
        <f>IF(AND(Annexes!M39=TRUE,AB574&gt;=0.5),TRUE,FALSE)</f>
        <v>0</v>
      </c>
      <c r="AC571" s="1"/>
      <c r="AD571" s="1"/>
      <c r="AE571" s="13"/>
    </row>
    <row r="572" spans="1:31" ht="16.5" customHeight="1">
      <c r="A572" s="99"/>
      <c r="B572" s="103"/>
      <c r="C572" s="387"/>
      <c r="D572" s="524" t="str">
        <f>IFERROR(IF('Mon Entreprise'!K8&gt;=Annexes!O20,"",IF(AB540&lt;AB541,"A noter qu'il convient de choisir l'option retenue par l'entreprise lors de sa demande au titre du mois Février ou a défaut celui du mois de Mars, Avril, Mai, ou Juin 2021, si le CA de référence était celui de février (...) 2019,"&amp;" il convient de prendre celui de Juillet 2019, soit "&amp;ROUND(AB540,0)&amp;" €"&amp;" ==&gt; "&amp;ROUND(AE540*100,0)&amp;" %","A noter qu'il convient de choisir l'option retenue par l'entreprise lors de sa demande"&amp;" au titre du mois Février  ou a défaut celui du mois de Mars, Avril, Mai, ou Juin 2021, si le CA de référence était celui de l'exercice 2019, il convient de prendre celui de l'exercie 2019, soit une perte de "&amp;ROUND(AB541,0)&amp;" €"&amp;" ==&gt; "&amp;ROUND(AE541*100,0)&amp;" %")),"")</f>
        <v>A noter qu'il convient de choisir l'option retenue par l'entreprise lors de sa demande au titre du mois Février  ou a défaut celui du mois de Mars, Avril, Mai, ou Juin 2021, si le CA de référence était celui de l'exercice 2019, il convient de prendre celui de l'exercie 2019, soit une perte de 0 € ==&gt; 0 %</v>
      </c>
      <c r="E572" s="524"/>
      <c r="F572" s="524"/>
      <c r="G572" s="524"/>
      <c r="H572" s="524"/>
      <c r="I572" s="524"/>
      <c r="J572" s="524"/>
      <c r="K572" s="524"/>
      <c r="L572" s="524"/>
      <c r="M572" s="524"/>
      <c r="N572" s="524"/>
      <c r="O572" s="524"/>
      <c r="P572" s="1"/>
      <c r="T572" s="14"/>
      <c r="U572" s="525" t="s">
        <v>72</v>
      </c>
      <c r="V572" s="525"/>
      <c r="W572" s="525"/>
      <c r="X572" s="525"/>
      <c r="Y572" s="525"/>
      <c r="Z572" s="139"/>
      <c r="AA572" s="145"/>
      <c r="AB572" s="385" t="str">
        <f>IF(AB552="Oui","Oui","Non")</f>
        <v>Oui</v>
      </c>
      <c r="AC572" s="139"/>
      <c r="AD572" s="1"/>
      <c r="AE572" s="13"/>
    </row>
    <row r="573" spans="1:31" ht="16.5" customHeight="1">
      <c r="A573" s="99"/>
      <c r="B573" s="103"/>
      <c r="C573" s="387"/>
      <c r="D573" s="524"/>
      <c r="E573" s="524"/>
      <c r="F573" s="524"/>
      <c r="G573" s="524"/>
      <c r="H573" s="524"/>
      <c r="I573" s="524"/>
      <c r="J573" s="524"/>
      <c r="K573" s="524"/>
      <c r="L573" s="524"/>
      <c r="M573" s="524"/>
      <c r="N573" s="524"/>
      <c r="O573" s="524"/>
      <c r="P573" s="1"/>
      <c r="T573" s="14"/>
      <c r="U573" s="525" t="s">
        <v>84</v>
      </c>
      <c r="V573" s="525"/>
      <c r="W573" s="525"/>
      <c r="X573" s="525"/>
      <c r="Y573" s="525"/>
      <c r="Z573" s="139"/>
      <c r="AA573" s="145"/>
      <c r="AB573" s="385">
        <f>IF('Mon Entreprise'!K8&gt;=Annexes!O20,IF(AB540&gt;=AB542,AB540,AB542),IF(AB540&gt;=AB541,AB540,AB541))</f>
        <v>0</v>
      </c>
      <c r="AC573" s="139"/>
      <c r="AD573" s="1"/>
      <c r="AE573" s="13"/>
    </row>
    <row r="574" spans="1:31" ht="16.5" customHeight="1">
      <c r="B574" s="103"/>
      <c r="C574" s="387"/>
      <c r="D574" s="215"/>
      <c r="E574" s="377"/>
      <c r="F574" s="377"/>
      <c r="G574" s="377"/>
      <c r="H574" s="377"/>
      <c r="I574" s="377"/>
      <c r="J574" s="377"/>
      <c r="K574" s="377"/>
      <c r="L574" s="377"/>
      <c r="M574" s="377"/>
      <c r="N574" s="377"/>
      <c r="O574" s="377"/>
      <c r="P574" s="1"/>
      <c r="T574" s="14"/>
      <c r="U574" s="525" t="s">
        <v>85</v>
      </c>
      <c r="V574" s="525"/>
      <c r="W574" s="525"/>
      <c r="X574" s="525"/>
      <c r="Y574" s="525"/>
      <c r="Z574" s="139"/>
      <c r="AA574" s="145"/>
      <c r="AB574" s="385">
        <f>IF('Mon Entreprise'!K8&gt;=Annexes!O20,IF(AB540&gt;=AB542,AE540,AE542),IF(AB540&gt;=AB541,AE540,AE541))</f>
        <v>0</v>
      </c>
      <c r="AC574" s="139"/>
      <c r="AD574" s="1"/>
      <c r="AE574" s="13"/>
    </row>
    <row r="575" spans="1:31" ht="16.5" customHeight="1" thickBot="1">
      <c r="B575" s="103"/>
      <c r="C575" s="387"/>
      <c r="D575" s="377"/>
      <c r="E575" s="377"/>
      <c r="F575" s="377"/>
      <c r="G575" s="377"/>
      <c r="H575" s="377"/>
      <c r="I575" s="377"/>
      <c r="J575" s="377"/>
      <c r="K575" s="377"/>
      <c r="L575" s="377"/>
      <c r="M575" s="377"/>
      <c r="N575" s="377"/>
      <c r="O575" s="377"/>
      <c r="P575" s="1"/>
      <c r="T575" s="14"/>
      <c r="U575" s="502" t="s">
        <v>74</v>
      </c>
      <c r="V575" s="502"/>
      <c r="W575" s="502"/>
      <c r="X575" s="502"/>
      <c r="Y575" s="502"/>
      <c r="Z575" s="139"/>
      <c r="AA575" s="145"/>
      <c r="AB575" s="385">
        <v>1</v>
      </c>
      <c r="AC575" s="139"/>
      <c r="AD575" s="1"/>
      <c r="AE575" s="13"/>
    </row>
    <row r="576" spans="1:31" ht="16.5" customHeight="1">
      <c r="B576" s="103"/>
      <c r="C576" s="387"/>
      <c r="D576" s="527" t="str">
        <f>IFERROR(IF(AB572="NON","Vous avez débuté votre activité après le 31 Janvier 2020, vous ne pouvez donc pas bénéficier de cette aide",IF(OR(AB567="OUI",AB569="OUI",AND(AB568="OUI",OR(AB562&lt;Annexes!P5,AB563&lt;Annexes!P5,'Mes Aides'!AB198&lt;0.1))),IF(AND(0.3*AB577&gt;Annexes!O8,0.2*AB576&gt;Annexes!O8),"Dans votre cas, l'aide est plafonnée, à "&amp;Annexes!O8&amp;" € pour le mois de Juillet",IF(0.3*AB577&gt;=0.2*AB576,"Dans votre cas, 30 % de la perte est supérieur à 20 % du CA, l'aide est donc plafonnée à 20 % du CA, soit "&amp;ROUND(0.2*AB576,0)&amp;" € pour le mois de Juillet","Dans votre cas, 30% de la perte est inférieure à 20 % du CA, l'aide est donc plafonnée à 30 % de la perte, soit "&amp;ROUND(0.3*AB577,0)&amp;" € pour le mois de Juillet")),"Vous ne faites pas partie des entreprises ayant leur activité mentionnée en annexe 1, ou en annexe 2, avec une perte de CA "&amp;"d'au moins 80 % entre le 15/03/2020 et le 15/05/2020 ou au mois de Novembre 2020 ou une perte de 10 % entre 2019 et 2020, ou domicilié dans les îles d'outre-mer")),"Vous n'avez pas indiqué de chiffre d'affaires de référence")</f>
        <v>Vous ne faites pas partie des entreprises ayant leur activité mentionnée en annexe 1, ou en annexe 2, avec une perte de CA d'au moins 80 % entre le 15/03/2020 et le 15/05/2020 ou au mois de Novembre 2020 ou une perte de 10 % entre 2019 et 2020, ou domicilié dans les îles d'outre-mer</v>
      </c>
      <c r="E576" s="509"/>
      <c r="F576" s="509"/>
      <c r="G576" s="509"/>
      <c r="H576" s="509"/>
      <c r="I576" s="509"/>
      <c r="J576" s="509"/>
      <c r="K576" s="509"/>
      <c r="L576" s="509"/>
      <c r="M576" s="509"/>
      <c r="N576" s="509"/>
      <c r="O576" s="510"/>
      <c r="P576" s="1"/>
      <c r="T576" s="14"/>
      <c r="U576" s="502" t="s">
        <v>80</v>
      </c>
      <c r="V576" s="502"/>
      <c r="W576" s="502"/>
      <c r="X576" s="502"/>
      <c r="Y576" s="502"/>
      <c r="Z576" s="139"/>
      <c r="AA576" s="145"/>
      <c r="AB576" s="385">
        <f>IF('Mon Entreprise'!K8&gt;=Annexes!O20,IF(AB540&gt;=AB542,Y540,Y542),IF(AB540&gt;=AB541,Y540,Y541))</f>
        <v>0</v>
      </c>
      <c r="AC576" s="139"/>
      <c r="AD576" s="1"/>
      <c r="AE576" s="13"/>
    </row>
    <row r="577" spans="2:31" ht="16.5" customHeight="1">
      <c r="B577" s="173"/>
      <c r="C577" s="387"/>
      <c r="D577" s="511"/>
      <c r="E577" s="512"/>
      <c r="F577" s="512"/>
      <c r="G577" s="512"/>
      <c r="H577" s="512"/>
      <c r="I577" s="512"/>
      <c r="J577" s="512"/>
      <c r="K577" s="512"/>
      <c r="L577" s="512"/>
      <c r="M577" s="512"/>
      <c r="N577" s="512"/>
      <c r="O577" s="513"/>
      <c r="P577" s="1"/>
      <c r="T577" s="14"/>
      <c r="U577" s="490" t="s">
        <v>104</v>
      </c>
      <c r="V577" s="490"/>
      <c r="W577" s="490"/>
      <c r="X577" s="490"/>
      <c r="Y577" s="490"/>
      <c r="Z577" s="1"/>
      <c r="AA577" s="14"/>
      <c r="AB577" s="381">
        <f>IF(AB575=1,AB573,IF(AB573*AB575&gt;1500,IF(AB573&gt;1500,AB573*AB575,"Impossible"),IF(AB573&lt;1500,AB573,1500)))</f>
        <v>0</v>
      </c>
      <c r="AC577" s="1"/>
      <c r="AD577" s="1"/>
      <c r="AE577" s="13"/>
    </row>
    <row r="578" spans="2:31" ht="16.5" customHeight="1">
      <c r="B578" s="103"/>
      <c r="C578" s="387"/>
      <c r="D578" s="511"/>
      <c r="E578" s="512"/>
      <c r="F578" s="512"/>
      <c r="G578" s="512"/>
      <c r="H578" s="512"/>
      <c r="I578" s="512"/>
      <c r="J578" s="512"/>
      <c r="K578" s="512"/>
      <c r="L578" s="512"/>
      <c r="M578" s="512"/>
      <c r="N578" s="512"/>
      <c r="O578" s="513"/>
      <c r="P578" s="1"/>
      <c r="T578" s="14"/>
      <c r="U578" s="381"/>
      <c r="V578" s="381"/>
      <c r="W578" s="381"/>
      <c r="X578" s="381"/>
      <c r="Y578" s="381"/>
      <c r="Z578" s="1"/>
      <c r="AA578" s="1"/>
      <c r="AB578" s="1"/>
      <c r="AC578" s="1"/>
      <c r="AD578" s="1"/>
      <c r="AE578" s="13"/>
    </row>
    <row r="579" spans="2:31" ht="16.5" customHeight="1" thickBot="1">
      <c r="B579" s="103"/>
      <c r="C579" s="387"/>
      <c r="D579" s="514"/>
      <c r="E579" s="515"/>
      <c r="F579" s="515"/>
      <c r="G579" s="515"/>
      <c r="H579" s="515"/>
      <c r="I579" s="515"/>
      <c r="J579" s="515"/>
      <c r="K579" s="515"/>
      <c r="L579" s="515"/>
      <c r="M579" s="515"/>
      <c r="N579" s="515"/>
      <c r="O579" s="516"/>
      <c r="P579" s="1"/>
      <c r="T579" s="14"/>
      <c r="U579" s="490"/>
      <c r="V579" s="490"/>
      <c r="W579" s="490"/>
      <c r="X579" s="490"/>
      <c r="Y579" s="490"/>
      <c r="Z579" s="1"/>
      <c r="AA579" s="1"/>
      <c r="AB579" s="1"/>
      <c r="AC579" s="1"/>
      <c r="AD579" s="1"/>
      <c r="AE579" s="13"/>
    </row>
    <row r="580" spans="2:31" ht="16.5" customHeight="1">
      <c r="B580" s="103"/>
      <c r="C580" s="169"/>
      <c r="D580" s="174"/>
      <c r="E580" s="174"/>
      <c r="F580" s="174"/>
      <c r="G580" s="174"/>
      <c r="H580" s="174"/>
      <c r="I580" s="174"/>
      <c r="J580" s="174"/>
      <c r="K580" s="174"/>
      <c r="L580" s="174"/>
      <c r="M580" s="174"/>
      <c r="N580" s="174"/>
      <c r="O580" s="174"/>
      <c r="P580" s="1"/>
      <c r="T580" s="14"/>
      <c r="U580" s="381"/>
      <c r="V580" s="381"/>
      <c r="W580" s="381"/>
      <c r="X580" s="381"/>
      <c r="Y580" s="381"/>
      <c r="Z580" s="1"/>
      <c r="AA580" s="1"/>
      <c r="AB580" s="1"/>
      <c r="AC580" s="1"/>
      <c r="AD580" s="1"/>
      <c r="AE580" s="13"/>
    </row>
    <row r="581" spans="2:31" ht="16.5" customHeight="1">
      <c r="B581" s="103"/>
      <c r="C581" s="387"/>
      <c r="D581" s="377"/>
      <c r="E581" s="377"/>
      <c r="F581" s="377"/>
      <c r="G581" s="377"/>
      <c r="H581" s="377"/>
      <c r="I581" s="377"/>
      <c r="J581" s="377"/>
      <c r="K581" s="377"/>
      <c r="L581" s="377"/>
      <c r="M581" s="377"/>
      <c r="N581" s="377"/>
      <c r="O581" s="377"/>
      <c r="P581" s="1"/>
      <c r="T581" s="14"/>
      <c r="U581" s="1"/>
      <c r="V581" s="1"/>
      <c r="W581" s="1"/>
      <c r="X581" s="1"/>
      <c r="Y581" s="1"/>
      <c r="Z581" s="1"/>
      <c r="AA581" s="1"/>
      <c r="AB581" s="1"/>
      <c r="AC581" s="1"/>
      <c r="AD581" s="1"/>
      <c r="AE581" s="13"/>
    </row>
    <row r="582" spans="2:31" ht="16.5" customHeight="1">
      <c r="B582" s="103"/>
      <c r="C582" s="529" t="s">
        <v>479</v>
      </c>
      <c r="D582" s="529"/>
      <c r="E582" s="529"/>
      <c r="F582" s="529"/>
      <c r="G582" s="529"/>
      <c r="H582" s="529"/>
      <c r="I582" s="529"/>
      <c r="J582" s="529"/>
      <c r="K582" s="529"/>
      <c r="L582" s="529"/>
      <c r="M582" s="529"/>
      <c r="N582" s="529"/>
      <c r="O582" s="529"/>
      <c r="P582" s="1"/>
      <c r="T582" s="14"/>
      <c r="U582" s="1"/>
      <c r="V582" s="1"/>
      <c r="W582" s="1"/>
      <c r="X582" s="1"/>
      <c r="Y582" s="1"/>
      <c r="Z582" s="1"/>
      <c r="AA582" s="1"/>
      <c r="AB582" s="1"/>
      <c r="AC582" s="1"/>
      <c r="AD582" s="1"/>
      <c r="AE582" s="13"/>
    </row>
    <row r="583" spans="2:31" ht="16.5" customHeight="1">
      <c r="B583" s="173"/>
      <c r="C583" s="387"/>
      <c r="D583" s="306"/>
      <c r="E583" s="528" t="str">
        <f>IF(AB572="NON","",IF(AB570=TRUE,"","L'entreprise n'a pas été en fermeture administrative sur le mois avec une perte de 20 % de CA"))</f>
        <v>L'entreprise n'a pas été en fermeture administrative sur le mois avec une perte de 20 % de CA</v>
      </c>
      <c r="F583" s="528"/>
      <c r="G583" s="528"/>
      <c r="H583" s="528"/>
      <c r="I583" s="528"/>
      <c r="J583" s="528"/>
      <c r="K583" s="528"/>
      <c r="L583" s="528"/>
      <c r="M583" s="528"/>
      <c r="N583" s="528"/>
      <c r="O583" s="528"/>
      <c r="P583" s="1"/>
      <c r="T583" s="14"/>
      <c r="U583" s="502" t="s">
        <v>82</v>
      </c>
      <c r="V583" s="502"/>
      <c r="W583" s="502"/>
      <c r="X583" s="502"/>
      <c r="Y583" s="502"/>
      <c r="Z583" s="68"/>
      <c r="AA583" s="1"/>
      <c r="AB583" s="1">
        <f>IFERROR(IF(AB552="Non",0,IF(AND(AB571=TRUE,AB555&gt;=0.5),IF(AB554&gt;Annexes!O5,Annexes!O5,ROUND(AB554,0)),0)),0)</f>
        <v>0</v>
      </c>
      <c r="AC583" s="1"/>
      <c r="AD583" s="1"/>
      <c r="AE583" s="13"/>
    </row>
    <row r="584" spans="2:31" ht="15" customHeight="1">
      <c r="B584" s="173"/>
      <c r="C584" s="387"/>
      <c r="D584" s="306"/>
      <c r="E584" s="528"/>
      <c r="F584" s="528"/>
      <c r="G584" s="528"/>
      <c r="H584" s="528"/>
      <c r="I584" s="528"/>
      <c r="J584" s="528"/>
      <c r="K584" s="528"/>
      <c r="L584" s="528"/>
      <c r="M584" s="528"/>
      <c r="N584" s="528"/>
      <c r="O584" s="528"/>
      <c r="P584" s="1"/>
      <c r="T584" s="14"/>
      <c r="U584" s="502" t="s">
        <v>504</v>
      </c>
      <c r="V584" s="502"/>
      <c r="W584" s="502"/>
      <c r="X584" s="502"/>
      <c r="Y584" s="502"/>
      <c r="Z584" s="68"/>
      <c r="AA584" s="1"/>
      <c r="AB584" s="1">
        <f>IFERROR(IF(AB572="NON",0,IF(OR(AB567="OUI",AB569="OUI",AND(AB568="OUI",OR(AB562&lt;Annexes!P5,AB563&lt;Annexes!P5,'Mes Aides'!AB198&lt;0.1))),IF(AND(0.3*AB577,0.2*AB576)&lt;Annexes!O8,Annexes!O8,IF(0.3*AB577&gt;=0.2*AB576,ROUND(0.2*AB576,0),ROUND(0.3*AB577,0))),0)),0)</f>
        <v>0</v>
      </c>
      <c r="AC584" s="1"/>
      <c r="AD584" s="1"/>
      <c r="AE584" s="13"/>
    </row>
    <row r="585" spans="2:31" ht="15" customHeight="1">
      <c r="B585" s="173"/>
      <c r="C585" s="387"/>
      <c r="D585" s="306"/>
      <c r="E585" s="353"/>
      <c r="F585" s="353"/>
      <c r="G585" s="353"/>
      <c r="H585" s="353"/>
      <c r="I585" s="353"/>
      <c r="J585" s="353"/>
      <c r="K585" s="353"/>
      <c r="L585" s="353"/>
      <c r="M585" s="353"/>
      <c r="N585" s="353"/>
      <c r="O585" s="353"/>
      <c r="P585" s="1"/>
      <c r="T585" s="14"/>
      <c r="U585" s="502" t="s">
        <v>478</v>
      </c>
      <c r="V585" s="502"/>
      <c r="W585" s="502"/>
      <c r="X585" s="502"/>
      <c r="Y585" s="502"/>
      <c r="Z585" s="68"/>
      <c r="AA585" s="1"/>
      <c r="AB585" s="1">
        <f>IFERROR(IF(AB572="NON",0,IF(AB570=TRUE,IF(AB576*0.2&gt;Annexes!O8,Annexes!O8,ROUND(AB576*0.2,0)),0)),0)</f>
        <v>0</v>
      </c>
      <c r="AC585" s="1"/>
      <c r="AD585" s="1"/>
      <c r="AE585" s="13"/>
    </row>
    <row r="586" spans="2:31" ht="16.5" customHeight="1">
      <c r="B586" s="173"/>
      <c r="C586" s="387"/>
      <c r="D586" s="417" t="str">
        <f>IFERROR(IF('Mon Entreprise'!K8&gt;=Annexes!O20,IF(AB540&gt;=AB542,"- Le CA de référence est celui de Juillet 2019, soit une perte de "&amp;ROUND(AB540,0)&amp;" €"&amp;" ==&gt; "&amp;ROUND(AE540*100,0)&amp;" %","- Le CA de référence est celui de la création, soit une perte de "&amp;ROUND(AB542,0)&amp;" €"&amp;" ==&gt; "&amp;ROUND(AE542*100,0)&amp;" %"),IF(AB540&gt;=AB541,"- Le CA de référence est celui de Juillet 2019, soit une perte de "&amp;ROUND(AB540,0)&amp;" €"&amp;" ==&gt; "&amp;ROUND(AE540*100,0)&amp;" %","- Le CA de référence est celui de l'exercice 2019, soit une perte de "&amp;ROUND(AB541,0)&amp;" €"&amp;" ==&gt; "&amp;ROUND(AE541*100,0)&amp;" %")),"")</f>
        <v>- Le CA de référence est celui de Juillet 2019, soit une perte de 0 € ==&gt; 0 %</v>
      </c>
      <c r="E586" s="417"/>
      <c r="F586" s="417"/>
      <c r="G586" s="417"/>
      <c r="H586" s="417"/>
      <c r="I586" s="417"/>
      <c r="J586" s="417"/>
      <c r="K586" s="417"/>
      <c r="L586" s="417"/>
      <c r="M586" s="417"/>
      <c r="N586" s="417"/>
      <c r="O586" s="417"/>
      <c r="P586" s="377"/>
      <c r="Q586" s="377"/>
      <c r="T586" s="14"/>
      <c r="U586" s="1"/>
      <c r="V586" s="1"/>
      <c r="W586" s="1"/>
      <c r="X586" s="1"/>
      <c r="Y586" s="1"/>
      <c r="Z586" s="1"/>
      <c r="AA586" s="1"/>
      <c r="AB586" s="1"/>
      <c r="AC586" s="1"/>
      <c r="AD586" s="1"/>
      <c r="AE586" s="13"/>
    </row>
    <row r="587" spans="2:31" ht="16.5" customHeight="1">
      <c r="B587" s="173"/>
      <c r="C587" s="387"/>
      <c r="D587" s="524" t="str">
        <f>IFERROR(IF('Mon Entreprise'!K8&gt;=Annexes!O20,"",IF(AB540&lt;AB541,"A noter qu'il convient de choisir l'option retenue par l'entreprise lors de sa demande au titre du mois Février ou a défaut celui du mois de Mars, Avril, Mai, ou Juin 2021, si le CA de référence était celui de février (...) 2019, il convient"&amp;" de prendre celui de Juillet 2019 (...), soit "&amp;ROUND(AB540,0)&amp;" €"&amp;" ==&gt; "&amp;ROUND(AE540*100,0)&amp;" %","A noter qu'il convient de choisir l'option retenue par l'entreprise lors de sa demande au titre du mois Février "&amp;"ou a défaut celui du mois de Mars, d'Avril, Mai, ou Juin 2021, si le CA de référence était celui de l'exercice 2019, il convient de prendre celui de l'exercie 2019, soit une perte de "&amp;ROUND(AB541,0)&amp;" €"&amp;" ==&gt; "&amp;ROUND(AE541*100,0)&amp;" %")),"")</f>
        <v>A noter qu'il convient de choisir l'option retenue par l'entreprise lors de sa demande au titre du mois Février ou a défaut celui du mois de Mars, d'Avril, Mai, ou Juin 2021, si le CA de référence était celui de l'exercice 2019, il convient de prendre celui de l'exercie 2019, soit une perte de 0 € ==&gt; 0 %</v>
      </c>
      <c r="E587" s="524"/>
      <c r="F587" s="524"/>
      <c r="G587" s="524"/>
      <c r="H587" s="524"/>
      <c r="I587" s="524"/>
      <c r="J587" s="524"/>
      <c r="K587" s="524"/>
      <c r="L587" s="524"/>
      <c r="M587" s="524"/>
      <c r="N587" s="524"/>
      <c r="O587" s="524"/>
      <c r="P587" s="377"/>
      <c r="Q587" s="377"/>
      <c r="T587" s="14"/>
      <c r="U587" s="1"/>
      <c r="V587" s="1"/>
      <c r="W587" s="1"/>
      <c r="X587" s="1"/>
      <c r="Y587" s="1"/>
      <c r="Z587" s="1"/>
      <c r="AA587" s="1"/>
      <c r="AB587" s="1"/>
      <c r="AC587" s="1"/>
      <c r="AD587" s="1"/>
      <c r="AE587" s="13"/>
    </row>
    <row r="588" spans="2:31" ht="16.5" customHeight="1">
      <c r="B588" s="173"/>
      <c r="C588" s="387"/>
      <c r="D588" s="524"/>
      <c r="E588" s="524"/>
      <c r="F588" s="524"/>
      <c r="G588" s="524"/>
      <c r="H588" s="524"/>
      <c r="I588" s="524"/>
      <c r="J588" s="524"/>
      <c r="K588" s="524"/>
      <c r="L588" s="524"/>
      <c r="M588" s="524"/>
      <c r="N588" s="524"/>
      <c r="O588" s="524"/>
      <c r="P588" s="377"/>
      <c r="Q588" s="377"/>
      <c r="T588" s="14"/>
      <c r="U588" s="1"/>
      <c r="V588" s="1"/>
      <c r="W588" s="1"/>
      <c r="X588" s="1"/>
      <c r="Y588" s="1"/>
      <c r="Z588" s="1"/>
      <c r="AA588" s="1"/>
      <c r="AB588" s="1"/>
      <c r="AC588" s="1"/>
      <c r="AD588" s="1"/>
      <c r="AE588" s="13"/>
    </row>
    <row r="589" spans="2:31" ht="16.5" customHeight="1" thickBot="1">
      <c r="B589" s="168"/>
      <c r="C589" s="387"/>
      <c r="D589" s="205"/>
      <c r="E589" s="377"/>
      <c r="F589" s="377"/>
      <c r="G589" s="377"/>
      <c r="H589" s="377"/>
      <c r="I589" s="377"/>
      <c r="J589" s="377"/>
      <c r="K589" s="377"/>
      <c r="L589" s="377"/>
      <c r="M589" s="377"/>
      <c r="N589" s="377"/>
      <c r="O589" s="377"/>
      <c r="P589" s="377"/>
      <c r="Q589" s="377"/>
      <c r="T589" s="14"/>
      <c r="U589" s="1"/>
      <c r="V589" s="1"/>
      <c r="W589" s="1"/>
      <c r="X589" s="1"/>
      <c r="Y589" s="1"/>
      <c r="Z589" s="1"/>
      <c r="AA589" s="1"/>
      <c r="AB589" s="1"/>
      <c r="AC589" s="1"/>
      <c r="AD589" s="1"/>
      <c r="AE589" s="13"/>
    </row>
    <row r="590" spans="2:31" ht="16.5" customHeight="1">
      <c r="B590" s="103"/>
      <c r="C590" s="180"/>
      <c r="D590" s="526" t="str">
        <f>IFERROR(IF(AB572="NON","Vous avez débuté votre activité après le 31 Janvier 2020, vous ne pouvez donc pas bénéficier de cette aide",IF(AB570=TRUE,IF(AB576*0.2&gt;Annexes!O8,"Dans votre cas, l'aide est plafonnée, à "&amp;Annexes!O8&amp;" € pour le mois de Juillet","Dans votre cas, l'aide est plafonnée à 20 % du CA, soit "&amp;ROUND(AB576*0.2,0)&amp;" € pour le mois de Juillet"),"Vous ne faites pas partie des entreprises en fermeture Administrative avec 20 % de perte de CA")),"Vous n'avez pas indiqué de chiffre d'affaires de référence")</f>
        <v>Vous ne faites pas partie des entreprises en fermeture Administrative avec 20 % de perte de CA</v>
      </c>
      <c r="E590" s="509"/>
      <c r="F590" s="509"/>
      <c r="G590" s="509"/>
      <c r="H590" s="509"/>
      <c r="I590" s="509"/>
      <c r="J590" s="509"/>
      <c r="K590" s="509"/>
      <c r="L590" s="509"/>
      <c r="M590" s="509"/>
      <c r="N590" s="509"/>
      <c r="O590" s="510"/>
      <c r="P590" s="377"/>
      <c r="Q590" s="377"/>
      <c r="T590" s="14"/>
      <c r="U590" s="1"/>
      <c r="V590" s="1"/>
      <c r="W590" s="1"/>
      <c r="X590" s="1"/>
      <c r="Y590" s="1"/>
      <c r="Z590" s="1"/>
      <c r="AA590" s="1"/>
      <c r="AB590" s="1"/>
      <c r="AC590" s="1"/>
      <c r="AD590" s="1"/>
      <c r="AE590" s="13"/>
    </row>
    <row r="591" spans="2:31" ht="16.5" customHeight="1">
      <c r="B591" s="103"/>
      <c r="C591" s="180"/>
      <c r="D591" s="511"/>
      <c r="E591" s="512"/>
      <c r="F591" s="512"/>
      <c r="G591" s="512"/>
      <c r="H591" s="512"/>
      <c r="I591" s="512"/>
      <c r="J591" s="512"/>
      <c r="K591" s="512"/>
      <c r="L591" s="512"/>
      <c r="M591" s="512"/>
      <c r="N591" s="512"/>
      <c r="O591" s="513"/>
      <c r="P591" s="377"/>
      <c r="Q591" s="377"/>
      <c r="T591" s="14"/>
      <c r="U591" s="1"/>
      <c r="V591" s="1"/>
      <c r="W591" s="1"/>
      <c r="X591" s="1"/>
      <c r="Y591" s="1"/>
      <c r="Z591" s="1"/>
      <c r="AA591" s="1"/>
      <c r="AB591" s="1"/>
      <c r="AC591" s="1"/>
      <c r="AD591" s="1"/>
      <c r="AE591" s="13"/>
    </row>
    <row r="592" spans="2:31" ht="16.5" customHeight="1">
      <c r="B592" s="103"/>
      <c r="C592" s="180"/>
      <c r="D592" s="511"/>
      <c r="E592" s="512"/>
      <c r="F592" s="512"/>
      <c r="G592" s="512"/>
      <c r="H592" s="512"/>
      <c r="I592" s="512"/>
      <c r="J592" s="512"/>
      <c r="K592" s="512"/>
      <c r="L592" s="512"/>
      <c r="M592" s="512"/>
      <c r="N592" s="512"/>
      <c r="O592" s="513"/>
      <c r="P592" s="175"/>
      <c r="Q592" s="175"/>
      <c r="T592" s="14"/>
      <c r="U592" s="1"/>
      <c r="V592" s="1"/>
      <c r="W592" s="1"/>
      <c r="X592" s="1"/>
      <c r="Y592" s="1"/>
      <c r="Z592" s="1"/>
      <c r="AA592" s="1"/>
      <c r="AB592" s="1"/>
      <c r="AC592" s="1"/>
      <c r="AD592" s="1"/>
      <c r="AE592" s="13"/>
    </row>
    <row r="593" spans="2:31" ht="16.5" customHeight="1" thickBot="1">
      <c r="B593" s="103"/>
      <c r="C593" s="180"/>
      <c r="D593" s="514"/>
      <c r="E593" s="515"/>
      <c r="F593" s="515"/>
      <c r="G593" s="515"/>
      <c r="H593" s="515"/>
      <c r="I593" s="515"/>
      <c r="J593" s="515"/>
      <c r="K593" s="515"/>
      <c r="L593" s="515"/>
      <c r="M593" s="515"/>
      <c r="N593" s="515"/>
      <c r="O593" s="516"/>
      <c r="T593" s="14"/>
      <c r="U593" s="1"/>
      <c r="V593" s="1"/>
      <c r="W593" s="1"/>
      <c r="X593" s="1"/>
      <c r="Y593" s="1"/>
      <c r="Z593" s="1"/>
      <c r="AA593" s="1"/>
      <c r="AB593" s="1"/>
      <c r="AC593" s="1"/>
      <c r="AD593" s="1"/>
      <c r="AE593" s="13"/>
    </row>
    <row r="594" spans="2:31" ht="16.5" customHeight="1">
      <c r="B594" s="5"/>
      <c r="C594" s="5"/>
      <c r="D594" s="354"/>
      <c r="E594" s="354"/>
      <c r="F594" s="354"/>
      <c r="G594" s="354"/>
      <c r="H594" s="354"/>
      <c r="I594" s="354"/>
      <c r="J594" s="354"/>
      <c r="K594" s="354"/>
      <c r="L594" s="354"/>
      <c r="M594" s="354"/>
      <c r="N594" s="354"/>
      <c r="O594" s="354"/>
      <c r="P594" s="177"/>
      <c r="Q594" s="177"/>
      <c r="T594" s="14"/>
      <c r="U594" s="1"/>
      <c r="V594" s="1"/>
      <c r="W594" s="1"/>
      <c r="X594" s="1"/>
      <c r="Y594" s="1"/>
      <c r="Z594" s="1"/>
      <c r="AA594" s="1"/>
      <c r="AB594" s="1"/>
      <c r="AC594" s="1"/>
      <c r="AD594" s="1"/>
      <c r="AE594" s="13"/>
    </row>
    <row r="595" spans="2:31">
      <c r="B595" s="5"/>
      <c r="C595" s="5"/>
      <c r="D595" s="355"/>
      <c r="E595" s="355"/>
      <c r="F595" s="355"/>
      <c r="G595" s="355"/>
      <c r="H595" s="355"/>
      <c r="I595" s="355"/>
      <c r="J595" s="355"/>
      <c r="K595" s="355"/>
      <c r="L595" s="355"/>
      <c r="M595" s="355"/>
      <c r="N595" s="355"/>
      <c r="O595" s="355"/>
      <c r="P595" s="177"/>
      <c r="Q595" s="177"/>
      <c r="T595" s="14"/>
      <c r="U595" s="1"/>
      <c r="V595" s="1"/>
      <c r="W595" s="1"/>
      <c r="X595" s="1"/>
      <c r="Y595" s="1"/>
      <c r="Z595" s="1"/>
      <c r="AA595" s="1"/>
      <c r="AB595" s="1"/>
      <c r="AC595" s="1"/>
      <c r="AD595" s="1"/>
      <c r="AE595" s="13"/>
    </row>
    <row r="596" spans="2:31" ht="16.5" thickBot="1">
      <c r="B596" s="220"/>
      <c r="C596" s="488" t="s">
        <v>496</v>
      </c>
      <c r="D596" s="488"/>
      <c r="E596" s="488"/>
      <c r="F596" s="488"/>
      <c r="G596" s="488"/>
      <c r="H596" s="488"/>
      <c r="I596" s="221"/>
      <c r="J596" s="221"/>
      <c r="K596" s="221"/>
      <c r="L596" s="221"/>
      <c r="M596" s="221"/>
      <c r="N596" s="221"/>
      <c r="O596" s="221"/>
      <c r="T596" s="16"/>
      <c r="U596" s="11"/>
      <c r="V596" s="11"/>
      <c r="W596" s="11"/>
      <c r="X596" s="11"/>
      <c r="Y596" s="11"/>
      <c r="Z596" s="11"/>
      <c r="AA596" s="11"/>
      <c r="AB596" s="11"/>
      <c r="AC596" s="11"/>
      <c r="AD596" s="11"/>
      <c r="AE596" s="12"/>
    </row>
    <row r="597" spans="2:31" ht="15" customHeight="1">
      <c r="B597" s="63"/>
      <c r="C597" s="24"/>
      <c r="D597" s="24"/>
      <c r="E597" s="24"/>
      <c r="F597" s="24"/>
      <c r="G597" s="24"/>
      <c r="H597" s="63"/>
      <c r="I597" s="1"/>
      <c r="J597" s="1"/>
      <c r="K597" s="1"/>
      <c r="L597" s="1"/>
      <c r="M597" s="1"/>
      <c r="N597" s="1"/>
      <c r="O597" s="1"/>
      <c r="T597" s="14"/>
      <c r="U597" s="1"/>
      <c r="V597" s="1"/>
      <c r="W597" s="1"/>
      <c r="X597" s="1"/>
      <c r="Y597" s="1"/>
      <c r="Z597" s="1"/>
      <c r="AA597" s="1"/>
      <c r="AB597" s="1"/>
      <c r="AC597" s="1"/>
      <c r="AD597" s="1"/>
      <c r="AE597" s="13"/>
    </row>
    <row r="598" spans="2:31" ht="15" customHeight="1">
      <c r="B598" s="103"/>
      <c r="C598" s="489" t="s">
        <v>497</v>
      </c>
      <c r="D598" s="489"/>
      <c r="E598" s="489"/>
      <c r="F598" s="489"/>
      <c r="G598" s="489"/>
      <c r="H598" s="489"/>
      <c r="I598" s="489"/>
      <c r="J598" s="489"/>
      <c r="K598" s="489"/>
      <c r="L598" s="489"/>
      <c r="M598" s="489"/>
      <c r="N598" s="489"/>
      <c r="O598" s="489"/>
      <c r="P598" s="1"/>
      <c r="T598" s="25"/>
      <c r="U598" s="490" t="s">
        <v>20</v>
      </c>
      <c r="V598" s="490"/>
      <c r="W598" s="490"/>
      <c r="X598" s="1"/>
      <c r="Y598" s="390" t="s">
        <v>6</v>
      </c>
      <c r="Z598" s="390"/>
      <c r="AA598" s="390"/>
      <c r="AB598" s="390" t="s">
        <v>23</v>
      </c>
      <c r="AC598" s="390"/>
      <c r="AD598" s="390"/>
      <c r="AE598" s="26" t="s">
        <v>24</v>
      </c>
    </row>
    <row r="599" spans="2:31" ht="15.75" customHeight="1">
      <c r="B599" s="103"/>
      <c r="C599" s="387"/>
      <c r="D599" s="60" t="s">
        <v>435</v>
      </c>
      <c r="E599" s="387"/>
      <c r="F599" s="387"/>
      <c r="G599" s="387"/>
      <c r="H599" s="387"/>
      <c r="I599" s="387"/>
      <c r="J599" s="387"/>
      <c r="K599" s="387"/>
      <c r="L599" s="387"/>
      <c r="M599" s="387"/>
      <c r="N599" s="387"/>
      <c r="O599" s="387"/>
      <c r="P599" s="1"/>
      <c r="T599" s="25"/>
      <c r="U599" s="390"/>
      <c r="V599" s="390"/>
      <c r="W599" s="390"/>
      <c r="X599" s="1"/>
      <c r="Y599" s="390"/>
      <c r="Z599" s="390"/>
      <c r="AA599" s="390"/>
      <c r="AB599" s="390"/>
      <c r="AC599" s="390"/>
      <c r="AD599" s="390"/>
      <c r="AE599" s="26"/>
    </row>
    <row r="600" spans="2:31" ht="15.75" hidden="1">
      <c r="B600" s="103"/>
      <c r="C600" s="387"/>
      <c r="D600" s="60"/>
      <c r="E600" s="387"/>
      <c r="F600" s="387"/>
      <c r="G600" s="387"/>
      <c r="H600" s="387"/>
      <c r="I600" s="387"/>
      <c r="J600" s="387"/>
      <c r="K600" s="387"/>
      <c r="L600" s="387"/>
      <c r="M600" s="387"/>
      <c r="N600" s="387"/>
      <c r="O600" s="387"/>
      <c r="P600" s="1"/>
      <c r="T600" s="491" t="s">
        <v>499</v>
      </c>
      <c r="U600" s="490"/>
      <c r="V600" s="490"/>
      <c r="W600" s="490"/>
      <c r="X600" s="1"/>
      <c r="Y600" s="7">
        <f>'Mon Entreprise'!I136</f>
        <v>0</v>
      </c>
      <c r="Z600" s="133"/>
      <c r="AA600" s="21"/>
      <c r="AB600" s="7">
        <f>IF('Mon Entreprise'!I136-'Mon Entreprise'!M136&lt;0,0,'Mon Entreprise'!I136-'Mon Entreprise'!M136)</f>
        <v>0</v>
      </c>
      <c r="AC600" s="13"/>
      <c r="AD600" s="1"/>
      <c r="AE600" s="27">
        <f>IFERROR(1-'Mon Entreprise'!M136/'Mon Entreprise'!I136,0)</f>
        <v>0</v>
      </c>
    </row>
    <row r="601" spans="2:31" ht="15.75" hidden="1">
      <c r="B601" s="103"/>
      <c r="C601" s="387"/>
      <c r="D601" s="492" t="str">
        <f>IFERROR(IF(AND(AB645=0,AB646=0,AB647=0),"Vous ne pouvez pas bénéficier du fonds de solidarité pour le mois d'Août 2021",IF(AND(AB647&gt;AB646,AB647&gt;AB645),"Votre entreprise peut bénéficier d'une aide de "&amp;AB647&amp;" €, au titre d'une fermeture Administrative avec une perte de 20 % de CA",IF(AB646&gt;AB645,"Votre entreprise peut bénéficier d'une aide de "&amp;AB646&amp;" €, au titre des entreprises ayant leur activité mentionnée en annexe 1, ou en annexe 2, avec une perte de CA "&amp;"d'au moins 80 % entre le 15/03/2020 et le 15/05/2020 ou au mois de Novembre 2020 ou une perte de 10 % entre 2019 et 2020, ou domicilié dans les îles d'outre-mer","Votre entreprise peut bénéficier d'une aide de "&amp;AB645&amp;" €, au titre d'une fermeture administrative d'au moins 10 jours et d'une perte d'au-moins 50 % de votre CA en Août 2021"))),"Vous n'avez pas indiqué de chiffre d'affaires de référence")</f>
        <v>Vous ne pouvez pas bénéficier du fonds de solidarité pour le mois d'Août 2021</v>
      </c>
      <c r="E601" s="493"/>
      <c r="F601" s="493"/>
      <c r="G601" s="493"/>
      <c r="H601" s="493"/>
      <c r="I601" s="493"/>
      <c r="J601" s="493"/>
      <c r="K601" s="493"/>
      <c r="L601" s="493"/>
      <c r="M601" s="493"/>
      <c r="N601" s="493"/>
      <c r="O601" s="494"/>
      <c r="P601" s="1"/>
      <c r="T601" s="491" t="s">
        <v>25</v>
      </c>
      <c r="U601" s="490"/>
      <c r="V601" s="490"/>
      <c r="W601" s="490"/>
      <c r="X601" s="1"/>
      <c r="Y601" s="7">
        <f>'Mon Entreprise'!I98</f>
        <v>0</v>
      </c>
      <c r="Z601" s="133"/>
      <c r="AA601" s="21"/>
      <c r="AB601" s="7">
        <f>IF('Mon Entreprise'!I98-'Mon Entreprise'!M136&lt;0,0,'Mon Entreprise'!I98-'Mon Entreprise'!M136)</f>
        <v>0</v>
      </c>
      <c r="AC601" s="36"/>
      <c r="AD601" s="1"/>
      <c r="AE601" s="27">
        <f>IFERROR(1-'Mon Entreprise'!M136/'Mon Entreprise'!I98,0)</f>
        <v>0</v>
      </c>
    </row>
    <row r="602" spans="2:31" ht="15.75" hidden="1" customHeight="1">
      <c r="B602" s="103"/>
      <c r="C602" s="387"/>
      <c r="D602" s="495"/>
      <c r="E602" s="496"/>
      <c r="F602" s="496"/>
      <c r="G602" s="496"/>
      <c r="H602" s="496"/>
      <c r="I602" s="496"/>
      <c r="J602" s="496"/>
      <c r="K602" s="496"/>
      <c r="L602" s="496"/>
      <c r="M602" s="496"/>
      <c r="N602" s="496"/>
      <c r="O602" s="497"/>
      <c r="P602" s="1"/>
      <c r="T602" s="501" t="s">
        <v>22</v>
      </c>
      <c r="U602" s="502"/>
      <c r="V602" s="502"/>
      <c r="W602" s="502"/>
      <c r="X602" s="139"/>
      <c r="Y602" s="140" t="str">
        <f>IF('Mon Entreprise'!I148="","NC",'Mon Entreprise'!I148)</f>
        <v>NC</v>
      </c>
      <c r="Z602" s="191"/>
      <c r="AA602" s="192"/>
      <c r="AB602" s="143" t="str">
        <f>IFERROR(IF('Mon Entreprise'!I148-'Mon Entreprise'!M136&lt;0,0,'Mon Entreprise'!I148-'Mon Entreprise'!M136),"NC")</f>
        <v>NC</v>
      </c>
      <c r="AC602" s="193"/>
      <c r="AD602" s="139"/>
      <c r="AE602" s="146" t="str">
        <f>IFERROR(1-'Mon Entreprise'!M136/'Mon Entreprise'!I148,"NC")</f>
        <v>NC</v>
      </c>
    </row>
    <row r="603" spans="2:31" ht="15.75" hidden="1" customHeight="1">
      <c r="B603" s="103"/>
      <c r="C603" s="387"/>
      <c r="D603" s="495"/>
      <c r="E603" s="496"/>
      <c r="F603" s="496"/>
      <c r="G603" s="496"/>
      <c r="H603" s="496"/>
      <c r="I603" s="496"/>
      <c r="J603" s="496"/>
      <c r="K603" s="496"/>
      <c r="L603" s="496"/>
      <c r="M603" s="496"/>
      <c r="N603" s="496"/>
      <c r="O603" s="497"/>
      <c r="P603" s="1"/>
      <c r="T603" s="388"/>
      <c r="U603" s="385"/>
      <c r="V603" s="385"/>
      <c r="W603" s="385"/>
      <c r="X603" s="139"/>
      <c r="Y603" s="140"/>
      <c r="Z603" s="141"/>
      <c r="AA603" s="192"/>
      <c r="AB603" s="143"/>
      <c r="AC603" s="385"/>
      <c r="AD603" s="139"/>
      <c r="AE603" s="146"/>
    </row>
    <row r="604" spans="2:31" ht="15.75" hidden="1" customHeight="1">
      <c r="B604" s="103"/>
      <c r="C604" s="387"/>
      <c r="D604" s="495"/>
      <c r="E604" s="496"/>
      <c r="F604" s="496"/>
      <c r="G604" s="496"/>
      <c r="H604" s="496"/>
      <c r="I604" s="496"/>
      <c r="J604" s="496"/>
      <c r="K604" s="496"/>
      <c r="L604" s="496"/>
      <c r="M604" s="496"/>
      <c r="N604" s="496"/>
      <c r="O604" s="497"/>
      <c r="P604" s="1"/>
      <c r="T604" s="14"/>
      <c r="U604" s="1"/>
      <c r="V604" s="1"/>
      <c r="W604" s="1"/>
      <c r="X604" s="1"/>
      <c r="Y604" s="1"/>
      <c r="Z604" s="1"/>
      <c r="AA604" s="1"/>
      <c r="AB604" s="1"/>
      <c r="AC604" s="1"/>
      <c r="AD604" s="1"/>
      <c r="AE604" s="13"/>
    </row>
    <row r="605" spans="2:31" ht="15.75" hidden="1" customHeight="1">
      <c r="B605" s="103"/>
      <c r="C605" s="387"/>
      <c r="D605" s="495"/>
      <c r="E605" s="496"/>
      <c r="F605" s="496"/>
      <c r="G605" s="496"/>
      <c r="H605" s="496"/>
      <c r="I605" s="496"/>
      <c r="J605" s="496"/>
      <c r="K605" s="496"/>
      <c r="L605" s="496"/>
      <c r="M605" s="496"/>
      <c r="N605" s="496"/>
      <c r="O605" s="497"/>
      <c r="P605" s="1"/>
      <c r="T605" s="14"/>
      <c r="AC605" s="1"/>
      <c r="AD605" s="1"/>
      <c r="AE605" s="13"/>
    </row>
    <row r="606" spans="2:31" ht="15.75" hidden="1" customHeight="1" thickBot="1">
      <c r="B606" s="103"/>
      <c r="C606" s="387"/>
      <c r="D606" s="498"/>
      <c r="E606" s="499"/>
      <c r="F606" s="499"/>
      <c r="G606" s="499"/>
      <c r="H606" s="499"/>
      <c r="I606" s="499"/>
      <c r="J606" s="499"/>
      <c r="K606" s="499"/>
      <c r="L606" s="499"/>
      <c r="M606" s="499"/>
      <c r="N606" s="499"/>
      <c r="O606" s="500"/>
      <c r="P606" s="1"/>
      <c r="T606" s="14"/>
      <c r="AC606" s="1"/>
      <c r="AD606" s="1"/>
      <c r="AE606" s="13"/>
    </row>
    <row r="607" spans="2:31" ht="16.5" hidden="1" customHeight="1">
      <c r="B607" s="103"/>
      <c r="C607" s="387"/>
      <c r="D607" s="503" t="s">
        <v>498</v>
      </c>
      <c r="E607" s="503"/>
      <c r="F607" s="503"/>
      <c r="G607" s="503"/>
      <c r="H607" s="503"/>
      <c r="I607" s="503"/>
      <c r="J607" s="503"/>
      <c r="K607" s="503"/>
      <c r="L607" s="503"/>
      <c r="M607" s="503"/>
      <c r="N607" s="503"/>
      <c r="O607" s="503"/>
      <c r="P607" s="1"/>
      <c r="T607" s="14"/>
      <c r="AC607" s="1"/>
      <c r="AD607" s="1"/>
      <c r="AE607" s="13"/>
    </row>
    <row r="608" spans="2:31" ht="16.5" hidden="1" customHeight="1">
      <c r="B608" s="103"/>
      <c r="C608" s="387"/>
      <c r="D608" s="504"/>
      <c r="E608" s="504"/>
      <c r="F608" s="504"/>
      <c r="G608" s="504"/>
      <c r="H608" s="504"/>
      <c r="I608" s="504"/>
      <c r="J608" s="504"/>
      <c r="K608" s="504"/>
      <c r="L608" s="504"/>
      <c r="M608" s="504"/>
      <c r="N608" s="504"/>
      <c r="O608" s="504"/>
      <c r="P608" s="1"/>
      <c r="T608" s="14"/>
      <c r="AC608" s="1"/>
      <c r="AD608" s="1"/>
      <c r="AE608" s="13"/>
    </row>
    <row r="609" spans="2:31" ht="15.75">
      <c r="B609" s="103"/>
      <c r="C609" s="78"/>
      <c r="D609" s="78"/>
      <c r="E609" s="78"/>
      <c r="F609" s="78"/>
      <c r="G609" s="78"/>
      <c r="H609" s="78"/>
      <c r="I609" s="78"/>
      <c r="J609" s="78"/>
      <c r="K609" s="78"/>
      <c r="L609" s="78"/>
      <c r="M609" s="78"/>
      <c r="N609" s="78"/>
      <c r="O609" s="78"/>
      <c r="P609" s="1"/>
      <c r="T609" s="14"/>
      <c r="U609" s="1"/>
      <c r="V609" s="1"/>
      <c r="W609" s="1"/>
      <c r="X609" s="1"/>
      <c r="Y609" s="1"/>
      <c r="Z609" s="1"/>
      <c r="AA609" s="1"/>
      <c r="AB609" s="1"/>
      <c r="AC609" s="1"/>
      <c r="AD609" s="1"/>
      <c r="AE609" s="13"/>
    </row>
    <row r="610" spans="2:31" ht="15.75">
      <c r="B610" s="103"/>
      <c r="C610" s="387"/>
      <c r="D610" s="60"/>
      <c r="E610" s="387"/>
      <c r="F610" s="387"/>
      <c r="G610" s="387"/>
      <c r="H610" s="387"/>
      <c r="I610" s="387"/>
      <c r="J610" s="387"/>
      <c r="K610" s="387"/>
      <c r="L610" s="387"/>
      <c r="M610" s="387"/>
      <c r="N610" s="387"/>
      <c r="O610" s="387"/>
      <c r="P610" s="1"/>
      <c r="T610" s="14"/>
      <c r="U610" s="1"/>
      <c r="V610" s="1"/>
      <c r="W610" s="1"/>
      <c r="X610" s="1"/>
      <c r="Y610" s="1"/>
      <c r="Z610" s="1"/>
      <c r="AA610" s="1"/>
      <c r="AB610" s="1"/>
      <c r="AC610" s="1"/>
      <c r="AD610" s="1"/>
      <c r="AE610" s="13"/>
    </row>
    <row r="611" spans="2:31" ht="15.75">
      <c r="B611" s="103"/>
      <c r="C611" s="505" t="s">
        <v>510</v>
      </c>
      <c r="D611" s="505"/>
      <c r="E611" s="505"/>
      <c r="F611" s="505"/>
      <c r="G611" s="505"/>
      <c r="H611" s="505"/>
      <c r="I611" s="505"/>
      <c r="J611" s="505"/>
      <c r="K611" s="505"/>
      <c r="L611" s="505"/>
      <c r="M611" s="505"/>
      <c r="N611" s="505"/>
      <c r="O611" s="505"/>
      <c r="P611" s="1"/>
      <c r="T611" s="14"/>
      <c r="U611" s="1"/>
      <c r="V611" s="1"/>
      <c r="W611" s="1"/>
      <c r="X611" s="1"/>
      <c r="Y611" s="1"/>
      <c r="Z611" s="1"/>
      <c r="AA611" s="1"/>
      <c r="AB611" s="1"/>
      <c r="AC611" s="1"/>
      <c r="AD611" s="1"/>
      <c r="AE611" s="13"/>
    </row>
    <row r="612" spans="2:31" ht="15.75">
      <c r="B612" s="103"/>
      <c r="C612" s="505"/>
      <c r="D612" s="505"/>
      <c r="E612" s="505"/>
      <c r="F612" s="505"/>
      <c r="G612" s="505"/>
      <c r="H612" s="505"/>
      <c r="I612" s="505"/>
      <c r="J612" s="505"/>
      <c r="K612" s="505"/>
      <c r="L612" s="505"/>
      <c r="M612" s="505"/>
      <c r="N612" s="505"/>
      <c r="O612" s="505"/>
      <c r="P612" s="1"/>
      <c r="T612" s="14"/>
      <c r="U612" s="506" t="s">
        <v>72</v>
      </c>
      <c r="V612" s="506"/>
      <c r="W612" s="506"/>
      <c r="X612" s="506"/>
      <c r="Y612" s="506"/>
      <c r="Z612" s="1"/>
      <c r="AA612" s="14"/>
      <c r="AB612" s="385" t="str">
        <f>IF('Mon Entreprise'!K8&lt;=Annexes!R15,"Oui","Non")</f>
        <v>Oui</v>
      </c>
      <c r="AC612" s="1"/>
      <c r="AD612" s="1"/>
      <c r="AE612" s="13"/>
    </row>
    <row r="613" spans="2:31" ht="15.75">
      <c r="B613" s="168"/>
      <c r="C613" s="387"/>
      <c r="D613" s="60" t="str">
        <f>IFERROR(IF('Mon Entreprise'!K8&gt;=Annexes!O20,IF(AB600&gt;=AB602,"Le CA de référence est celui d'Août 2019, soit une perte de "&amp;ROUND(AB600,0)&amp;" €"&amp;" ==&gt; "&amp;ROUND(AE600*100,0)&amp;" %","Le CA de référence est celui de la création, soit une perte de "&amp;ROUND(AB602,0)&amp;" €"&amp;" ==&gt; "&amp;ROUND(AE602*100,0)&amp;" %"),IF(AB600&gt;=AB601,"Le CA de référence est celui d'Août 2019, soit une perte de "&amp;ROUND(AB600,0)&amp;" €"&amp;" ==&gt; "&amp;ROUND(AE600*100,0)&amp;" %","Le CA de référence est celui de l'exercice 2019, soit une perte de "&amp;ROUND(AB601,0)&amp;" €"&amp;" ==&gt; "&amp;ROUND(AE601*100,0)&amp;" %")),"")</f>
        <v>Le CA de référence est celui d'Août 2019, soit une perte de 0 € ==&gt; 0 %</v>
      </c>
      <c r="E613" s="387"/>
      <c r="F613" s="387"/>
      <c r="G613" s="387"/>
      <c r="H613" s="387"/>
      <c r="I613" s="387"/>
      <c r="J613" s="387"/>
      <c r="K613" s="387"/>
      <c r="L613" s="387"/>
      <c r="M613" s="387"/>
      <c r="N613" s="387"/>
      <c r="O613" s="387"/>
      <c r="P613" s="1"/>
      <c r="T613" s="14"/>
      <c r="U613" s="386"/>
      <c r="V613" s="506" t="s">
        <v>393</v>
      </c>
      <c r="W613" s="506"/>
      <c r="X613" s="506"/>
      <c r="Y613" s="506"/>
      <c r="Z613" s="1"/>
      <c r="AA613" s="14"/>
      <c r="AB613" s="385">
        <f>IF('Mon Entreprise'!K8&gt;=Annexes!O20,IF(Y600&gt;=Y602,Y600,Y602),IF(Y600&gt;=Y601,Y600,Y601))</f>
        <v>0</v>
      </c>
      <c r="AC613" s="1"/>
      <c r="AD613" s="1"/>
      <c r="AE613" s="13"/>
    </row>
    <row r="614" spans="2:31" ht="15.75" customHeight="1">
      <c r="B614" s="168"/>
      <c r="C614" s="387"/>
      <c r="D614" s="507" t="str">
        <f>IFERROR(IF('Mon Entreprise'!K8&gt;=Annexes!O20,"",IF(AB600&lt;AB601,"A noter qu'il convient de choisir l'option retenue par l'entreprise lors de sa demande au titre du mois Février 2021, ou a défaut celui du mois de Mars, d'Avril, Mai, Juin, Juillet 2021, si le CA de référence était celui de février 2019 (...),"&amp;" il convient de prendre"&amp;" celui d'Août 2019, soit "&amp;ROUND(AB600,0)&amp;" €"&amp;" ==&gt; "&amp;ROUND(AE600*100,0)&amp;" %","A noter qu'il convient de choisir l'option retenue par l'entreprise lors de sa demande au titre du mois Février 2021, ou "&amp;"a défaut celui du mois de Mars, d'Avril, Mai, Juin ou Juillet 2021, si"&amp;" le CA de référence était celui de l'exercice 2019, il convient de prendre celui de l'exercie 2019, soit une perte de "&amp;ROUND(AB601,0)&amp;" €"&amp;" ==&gt; "&amp;ROUND(AE601*100,0)&amp;" %")),"")</f>
        <v>A noter qu'il convient de choisir l'option retenue par l'entreprise lors de sa demande au titre du mois Février 2021, ou a défaut celui du mois de Mars, d'Avril, Mai, Juin ou Juillet 2021, si le CA de référence était celui de l'exercice 2019, il convient de prendre celui de l'exercie 2019, soit une perte de 0 € ==&gt; 0 %</v>
      </c>
      <c r="E614" s="507"/>
      <c r="F614" s="507"/>
      <c r="G614" s="507"/>
      <c r="H614" s="507"/>
      <c r="I614" s="507"/>
      <c r="J614" s="507"/>
      <c r="K614" s="507"/>
      <c r="L614" s="507"/>
      <c r="M614" s="507"/>
      <c r="N614" s="507"/>
      <c r="O614" s="507"/>
      <c r="P614" s="1"/>
      <c r="T614" s="14"/>
      <c r="U614" s="506" t="s">
        <v>84</v>
      </c>
      <c r="V614" s="506"/>
      <c r="W614" s="506"/>
      <c r="X614" s="506"/>
      <c r="Y614" s="506"/>
      <c r="Z614" s="1"/>
      <c r="AA614" s="14"/>
      <c r="AB614" s="381">
        <f>IF('Mon Entreprise'!K8&gt;=Annexes!O20,IF(AB600&gt;=AB602,AB600,AB602),IF(AB600&gt;=AB601,AB600,AB601))</f>
        <v>0</v>
      </c>
      <c r="AC614" s="1"/>
      <c r="AD614" s="1"/>
      <c r="AE614" s="13"/>
    </row>
    <row r="615" spans="2:31" ht="15.75">
      <c r="B615" s="168"/>
      <c r="C615" s="387"/>
      <c r="D615" s="507"/>
      <c r="E615" s="507"/>
      <c r="F615" s="507"/>
      <c r="G615" s="507"/>
      <c r="H615" s="507"/>
      <c r="I615" s="507"/>
      <c r="J615" s="507"/>
      <c r="K615" s="507"/>
      <c r="L615" s="507"/>
      <c r="M615" s="507"/>
      <c r="N615" s="507"/>
      <c r="O615" s="507"/>
      <c r="P615" s="1"/>
      <c r="T615" s="14"/>
      <c r="U615" s="506" t="s">
        <v>85</v>
      </c>
      <c r="V615" s="506"/>
      <c r="W615" s="506"/>
      <c r="X615" s="506"/>
      <c r="Y615" s="506"/>
      <c r="Z615" s="1"/>
      <c r="AA615" s="14"/>
      <c r="AB615" s="19">
        <f>IF('Mon Entreprise'!K8&gt;=Annexes!O20,IF(AB600&gt;=AB602,AE600,AE602),IF(AB600&gt;=AB601,AE600,AE601))</f>
        <v>0</v>
      </c>
      <c r="AC615" s="1"/>
      <c r="AD615" s="1"/>
      <c r="AE615" s="13"/>
    </row>
    <row r="616" spans="2:31" ht="15.75">
      <c r="B616" s="168"/>
      <c r="C616" s="387"/>
      <c r="D616" s="507"/>
      <c r="E616" s="507"/>
      <c r="F616" s="507"/>
      <c r="G616" s="507"/>
      <c r="H616" s="507"/>
      <c r="I616" s="507"/>
      <c r="J616" s="507"/>
      <c r="K616" s="507"/>
      <c r="L616" s="507"/>
      <c r="M616" s="507"/>
      <c r="N616" s="507"/>
      <c r="O616" s="507"/>
      <c r="P616" s="1"/>
      <c r="T616" s="14"/>
      <c r="U616" s="386"/>
      <c r="V616" s="386"/>
      <c r="W616" s="386"/>
      <c r="X616" s="386"/>
      <c r="Y616" s="386"/>
      <c r="Z616" s="1"/>
      <c r="AA616" s="1"/>
      <c r="AB616" s="19"/>
      <c r="AC616" s="1"/>
      <c r="AD616" s="1"/>
      <c r="AE616" s="13"/>
    </row>
    <row r="617" spans="2:31" ht="16.5" thickBot="1">
      <c r="B617" s="103"/>
      <c r="C617" s="387"/>
      <c r="D617" s="60" t="s">
        <v>7</v>
      </c>
      <c r="E617" s="387"/>
      <c r="F617" s="387"/>
      <c r="G617" s="387"/>
      <c r="H617" s="387"/>
      <c r="I617" s="387"/>
      <c r="J617" s="387"/>
      <c r="K617" s="387"/>
      <c r="L617" s="387"/>
      <c r="M617" s="387"/>
      <c r="N617" s="387"/>
      <c r="O617" s="387"/>
      <c r="P617" s="1"/>
      <c r="T617" s="14"/>
      <c r="U617" s="1"/>
      <c r="V617" s="1"/>
      <c r="W617" s="1"/>
      <c r="X617" s="1"/>
      <c r="Y617" s="1"/>
      <c r="Z617" s="1"/>
      <c r="AA617" s="1"/>
      <c r="AB617" s="1"/>
      <c r="AC617" s="1"/>
      <c r="AD617" s="1"/>
      <c r="AE617" s="13"/>
    </row>
    <row r="618" spans="2:31" ht="15.75">
      <c r="B618" s="168"/>
      <c r="C618" s="387"/>
      <c r="D618" s="508" t="str">
        <f>IFERROR(IF(AB612="Non","Vous avez débuté votre activité après le 31 Janvier 2020, vous ne pouvez donc pas bénéficier de cette aide",IF(AND(AB631=TRUE,AB615&gt;=0.2),IF(AB614&gt;Annexes!O5,"Dans votre cas, l'aide est Plafonnée, à "&amp;Annexes!O5&amp;" € pour le mois d'Août","Vous pouvez bénéficier, au titre de cette aide, d'un montant de "&amp;ROUND(AB614,0)&amp;" € pour le mois d'Août"),"L'entreprise n'a pas une perte d'au moins 20 % en Août 2021 ou n'a pas été en fermeture Administrative au moins 8 Jours")),"Vous n'avez pas indiqué de chiffre d'affaires de référence")</f>
        <v>L'entreprise n'a pas une perte d'au moins 20 % en Août 2021 ou n'a pas été en fermeture Administrative au moins 8 Jours</v>
      </c>
      <c r="E618" s="509"/>
      <c r="F618" s="509"/>
      <c r="G618" s="509"/>
      <c r="H618" s="509"/>
      <c r="I618" s="509"/>
      <c r="J618" s="509"/>
      <c r="K618" s="509"/>
      <c r="L618" s="509"/>
      <c r="M618" s="509"/>
      <c r="N618" s="509"/>
      <c r="O618" s="510"/>
      <c r="P618" s="1"/>
      <c r="T618" s="14"/>
      <c r="U618" s="1"/>
      <c r="V618" s="1"/>
      <c r="W618" s="1"/>
      <c r="X618" s="1"/>
      <c r="Y618" s="1"/>
      <c r="Z618" s="1"/>
      <c r="AA618" s="1"/>
      <c r="AB618" s="1"/>
      <c r="AC618" s="1"/>
      <c r="AD618" s="1"/>
      <c r="AE618" s="13"/>
    </row>
    <row r="619" spans="2:31" ht="15.75" customHeight="1">
      <c r="B619" s="168"/>
      <c r="C619" s="387"/>
      <c r="D619" s="511"/>
      <c r="E619" s="512"/>
      <c r="F619" s="512"/>
      <c r="G619" s="512"/>
      <c r="H619" s="512"/>
      <c r="I619" s="512"/>
      <c r="J619" s="512"/>
      <c r="K619" s="512"/>
      <c r="L619" s="512"/>
      <c r="M619" s="512"/>
      <c r="N619" s="512"/>
      <c r="O619" s="513"/>
      <c r="P619" s="1"/>
      <c r="T619" s="14"/>
      <c r="U619" s="1"/>
      <c r="V619" s="1"/>
      <c r="W619" s="1"/>
      <c r="X619" s="1"/>
      <c r="Y619" s="1"/>
      <c r="Z619" s="1"/>
      <c r="AA619" s="1"/>
      <c r="AB619" s="1"/>
      <c r="AC619" s="1"/>
      <c r="AD619" s="1"/>
      <c r="AE619" s="13"/>
    </row>
    <row r="620" spans="2:31" ht="15.75" customHeight="1">
      <c r="B620" s="103"/>
      <c r="C620" s="387"/>
      <c r="D620" s="511"/>
      <c r="E620" s="512"/>
      <c r="F620" s="512"/>
      <c r="G620" s="512"/>
      <c r="H620" s="512"/>
      <c r="I620" s="512"/>
      <c r="J620" s="512"/>
      <c r="K620" s="512"/>
      <c r="L620" s="512"/>
      <c r="M620" s="512"/>
      <c r="N620" s="512"/>
      <c r="O620" s="513"/>
      <c r="P620" s="1"/>
      <c r="T620" s="14"/>
      <c r="U620" s="1"/>
      <c r="V620" s="1"/>
      <c r="W620" s="1"/>
      <c r="X620" s="1"/>
      <c r="Y620" s="1"/>
      <c r="Z620" s="1"/>
      <c r="AA620" s="1"/>
      <c r="AB620" s="1"/>
      <c r="AC620" s="1"/>
      <c r="AD620" s="1"/>
      <c r="AE620" s="13"/>
    </row>
    <row r="621" spans="2:31" ht="15.75" customHeight="1" thickBot="1">
      <c r="B621" s="103"/>
      <c r="C621" s="387"/>
      <c r="D621" s="514"/>
      <c r="E621" s="515"/>
      <c r="F621" s="515"/>
      <c r="G621" s="515"/>
      <c r="H621" s="515"/>
      <c r="I621" s="515"/>
      <c r="J621" s="515"/>
      <c r="K621" s="515"/>
      <c r="L621" s="515"/>
      <c r="M621" s="515"/>
      <c r="N621" s="515"/>
      <c r="O621" s="516"/>
      <c r="P621" s="1"/>
      <c r="T621" s="14"/>
      <c r="U621" s="1"/>
      <c r="V621" s="1"/>
      <c r="W621" s="1"/>
      <c r="X621" s="1"/>
      <c r="Y621" s="1"/>
      <c r="Z621" s="1"/>
      <c r="AA621" s="1"/>
      <c r="AB621" s="1"/>
      <c r="AC621" s="1"/>
      <c r="AD621" s="1"/>
      <c r="AE621" s="13"/>
    </row>
    <row r="622" spans="2:31" ht="16.5" customHeight="1">
      <c r="B622" s="103"/>
      <c r="C622" s="169"/>
      <c r="D622" s="517"/>
      <c r="E622" s="517"/>
      <c r="F622" s="517"/>
      <c r="G622" s="517"/>
      <c r="H622" s="517"/>
      <c r="I622" s="517"/>
      <c r="J622" s="517"/>
      <c r="K622" s="517"/>
      <c r="L622" s="517"/>
      <c r="M622" s="517"/>
      <c r="N622" s="517"/>
      <c r="O622" s="517"/>
      <c r="P622" s="1"/>
      <c r="T622" s="518" t="s">
        <v>4</v>
      </c>
      <c r="U622" s="519"/>
      <c r="V622" s="519"/>
      <c r="W622" s="519"/>
      <c r="X622" s="519"/>
      <c r="Y622" s="519"/>
      <c r="Z622" s="139"/>
      <c r="AA622" s="145"/>
      <c r="AB622" s="194">
        <f>IFERROR(IF('Mon Entreprise'!K8&gt;=Annexes!Q18,0,1-'Mon Entreprise'!M118/2/AB613),0)</f>
        <v>0</v>
      </c>
      <c r="AC622" s="1"/>
      <c r="AD622" s="1"/>
      <c r="AE622" s="13"/>
    </row>
    <row r="623" spans="2:31" ht="16.5" customHeight="1">
      <c r="B623" s="103"/>
      <c r="C623" s="387"/>
      <c r="D623" s="306"/>
      <c r="E623" s="306"/>
      <c r="F623" s="306"/>
      <c r="G623" s="306"/>
      <c r="H623" s="306"/>
      <c r="I623" s="306"/>
      <c r="J623" s="306"/>
      <c r="K623" s="306"/>
      <c r="L623" s="306"/>
      <c r="M623" s="306"/>
      <c r="N623" s="306"/>
      <c r="O623" s="306"/>
      <c r="P623" s="1"/>
      <c r="T623" s="110"/>
      <c r="U623" s="520" t="s">
        <v>102</v>
      </c>
      <c r="V623" s="520"/>
      <c r="W623" s="520"/>
      <c r="X623" s="520"/>
      <c r="Y623" s="520"/>
      <c r="Z623" s="139"/>
      <c r="AA623" s="145"/>
      <c r="AB623" s="194">
        <f>IFERROR(IF('Mon Entreprise'!K8&gt;Annexes!Q29,0,IF('Mon Entreprise'!K8&gt;Annexes!Q26,1,1-'Mon Entreprise'!M114/AB613)),0)</f>
        <v>0</v>
      </c>
      <c r="AC623" s="1"/>
      <c r="AD623" s="1"/>
      <c r="AE623" s="13"/>
    </row>
    <row r="624" spans="2:31" ht="16.5" customHeight="1">
      <c r="B624" s="103"/>
      <c r="C624" s="505" t="s">
        <v>512</v>
      </c>
      <c r="D624" s="505"/>
      <c r="E624" s="505"/>
      <c r="F624" s="505"/>
      <c r="G624" s="505"/>
      <c r="H624" s="505"/>
      <c r="I624" s="505"/>
      <c r="J624" s="505"/>
      <c r="K624" s="505"/>
      <c r="L624" s="505"/>
      <c r="M624" s="505"/>
      <c r="N624" s="505"/>
      <c r="O624" s="505"/>
      <c r="P624" s="1"/>
      <c r="T624" s="110"/>
      <c r="U624" s="520" t="s">
        <v>109</v>
      </c>
      <c r="V624" s="520"/>
      <c r="W624" s="520"/>
      <c r="X624" s="520"/>
      <c r="Y624" s="520"/>
      <c r="Z624" s="139"/>
      <c r="AA624" s="145"/>
      <c r="AB624" s="194">
        <f>IFERROR(IF(Annexes!O27&gt;'Mon Entreprise'!K8,1-'Mon Entreprise'!M98/'Mon Entreprise'!I98,0),0)</f>
        <v>0</v>
      </c>
      <c r="AC624" s="1"/>
      <c r="AD624" s="1"/>
      <c r="AE624" s="13"/>
    </row>
    <row r="625" spans="1:31" ht="16.5" customHeight="1">
      <c r="B625" s="103"/>
      <c r="C625" s="505"/>
      <c r="D625" s="505"/>
      <c r="E625" s="505"/>
      <c r="F625" s="505"/>
      <c r="G625" s="505"/>
      <c r="H625" s="505"/>
      <c r="I625" s="505"/>
      <c r="J625" s="505"/>
      <c r="K625" s="505"/>
      <c r="L625" s="505"/>
      <c r="M625" s="505"/>
      <c r="N625" s="505"/>
      <c r="O625" s="505"/>
      <c r="P625" s="1"/>
      <c r="T625" s="110"/>
      <c r="U625" s="382"/>
      <c r="V625" s="382"/>
      <c r="W625" s="382"/>
      <c r="X625" s="382"/>
      <c r="Y625" s="382"/>
      <c r="Z625" s="139"/>
      <c r="AA625" s="145"/>
      <c r="AB625" s="194"/>
      <c r="AC625" s="1"/>
      <c r="AD625" s="1"/>
      <c r="AE625" s="13"/>
    </row>
    <row r="626" spans="1:31" ht="16.5" customHeight="1">
      <c r="B626" s="103"/>
      <c r="C626" s="505"/>
      <c r="D626" s="505"/>
      <c r="E626" s="505"/>
      <c r="F626" s="505"/>
      <c r="G626" s="505"/>
      <c r="H626" s="505"/>
      <c r="I626" s="505"/>
      <c r="J626" s="505"/>
      <c r="K626" s="505"/>
      <c r="L626" s="505"/>
      <c r="M626" s="505"/>
      <c r="N626" s="505"/>
      <c r="O626" s="505"/>
      <c r="P626" s="1"/>
      <c r="T626" s="110"/>
      <c r="U626" s="382"/>
      <c r="V626" s="382"/>
      <c r="W626" s="382"/>
      <c r="X626" s="382"/>
      <c r="Y626" s="382"/>
      <c r="Z626" s="139"/>
      <c r="AA626" s="145"/>
      <c r="AB626" s="194"/>
      <c r="AC626" s="1"/>
      <c r="AD626" s="1"/>
      <c r="AE626" s="13"/>
    </row>
    <row r="627" spans="1:31" ht="16.5" customHeight="1">
      <c r="B627" s="103"/>
      <c r="C627" s="505"/>
      <c r="D627" s="505"/>
      <c r="E627" s="505"/>
      <c r="F627" s="505"/>
      <c r="G627" s="505"/>
      <c r="H627" s="505"/>
      <c r="I627" s="505"/>
      <c r="J627" s="505"/>
      <c r="K627" s="505"/>
      <c r="L627" s="505"/>
      <c r="M627" s="505"/>
      <c r="N627" s="505"/>
      <c r="O627" s="505"/>
      <c r="P627" s="1"/>
      <c r="T627" s="14"/>
      <c r="U627" s="521" t="s">
        <v>8</v>
      </c>
      <c r="V627" s="521"/>
      <c r="W627" s="521"/>
      <c r="X627" s="521"/>
      <c r="Y627" s="521"/>
      <c r="Z627" s="1"/>
      <c r="AA627" s="14"/>
      <c r="AB627" s="381" t="str">
        <f>IF((AND(Annexes!F5&gt;1,Annexes!F5&lt;=Annexes!H6,AB634&gt;=0.1)),"OUI","NON")</f>
        <v>NON</v>
      </c>
      <c r="AC627" s="1"/>
      <c r="AD627" s="1"/>
      <c r="AE627" s="13"/>
    </row>
    <row r="628" spans="1:31" ht="22.5" customHeight="1">
      <c r="B628" s="103"/>
      <c r="D628" s="564" t="s">
        <v>513</v>
      </c>
      <c r="E628" s="564"/>
      <c r="F628" s="564"/>
      <c r="G628" s="564"/>
      <c r="H628" s="564"/>
      <c r="I628" s="564"/>
      <c r="J628" s="564"/>
      <c r="K628" s="564"/>
      <c r="L628" s="564"/>
      <c r="M628" s="564"/>
      <c r="N628" s="564"/>
      <c r="O628" s="564"/>
      <c r="P628" s="1"/>
      <c r="T628" s="14"/>
      <c r="U628" s="383"/>
      <c r="V628" s="383"/>
      <c r="W628" s="383"/>
      <c r="X628" s="383"/>
      <c r="Y628" s="383" t="s">
        <v>9</v>
      </c>
      <c r="Z628" s="1"/>
      <c r="AA628" s="14"/>
      <c r="AB628" s="381" t="str">
        <f>IF(AND(Annexes!F7&gt;1,Annexes!F7&lt;=Annexes!H8,AB634&gt;=0.1),"OUI","NON")</f>
        <v>NON</v>
      </c>
      <c r="AC628" s="1"/>
      <c r="AD628" s="1"/>
      <c r="AE628" s="13"/>
    </row>
    <row r="629" spans="1:31" ht="16.5" customHeight="1">
      <c r="B629" s="103"/>
      <c r="C629" s="387"/>
      <c r="D629" s="306"/>
      <c r="E629" s="522" t="str">
        <f>IF(AB632="NON","",IF(OR(AB627="OUI",AB629="OUI",AND(AB628="OUI",OR(AB622&gt;=Annexes!P5,AB623&gt;=Annexes!P5,'Mes Aides'!AB145&gt;=0.1))),"",IF(AND(AB628="OUI",OR(AB622&lt;Annexes!P5,AB623&lt;Annexes!P5,'Mes Aides'!AB198&lt;0.1)),"L'entreprise fait partie des entreprises mentionnées en annexe 2 du décret mais n'a pas eu une perte de CA d'au-Moins 80 %, entre le 15/03/2020 et le 15/05/2020 ou Novembre 2020 ou 10 % entre 2019 et 2020","L'entreprise ne fait pas partie des activités mentionnées aux annexes 1, 2 ou domicilé dans une des îles d'outre-mer.")))</f>
        <v>L'entreprise ne fait pas partie des activités mentionnées aux annexes 1, 2 ou domicilé dans une des îles d'outre-mer.</v>
      </c>
      <c r="F629" s="522"/>
      <c r="G629" s="522"/>
      <c r="H629" s="522"/>
      <c r="I629" s="522"/>
      <c r="J629" s="522"/>
      <c r="K629" s="522"/>
      <c r="L629" s="522"/>
      <c r="M629" s="522"/>
      <c r="N629" s="522"/>
      <c r="O629" s="522"/>
      <c r="P629" s="1"/>
      <c r="T629" s="491" t="s">
        <v>474</v>
      </c>
      <c r="U629" s="490"/>
      <c r="V629" s="490"/>
      <c r="W629" s="490"/>
      <c r="X629" s="490"/>
      <c r="Y629" s="490"/>
      <c r="Z629" s="1"/>
      <c r="AA629" s="14"/>
      <c r="AB629" s="381" t="str">
        <f>IF(AND(Annexes!M24=TRUE,AB634&gt;=0.1),"OUI","NON")</f>
        <v>NON</v>
      </c>
      <c r="AC629" s="1"/>
      <c r="AD629" s="1"/>
      <c r="AE629" s="13"/>
    </row>
    <row r="630" spans="1:31" ht="16.5" customHeight="1">
      <c r="B630" s="103"/>
      <c r="C630" s="387"/>
      <c r="D630" s="306"/>
      <c r="E630" s="522"/>
      <c r="F630" s="522"/>
      <c r="G630" s="522"/>
      <c r="H630" s="522"/>
      <c r="I630" s="522"/>
      <c r="J630" s="522"/>
      <c r="K630" s="522"/>
      <c r="L630" s="522"/>
      <c r="M630" s="522"/>
      <c r="N630" s="522"/>
      <c r="O630" s="522"/>
      <c r="P630" s="1"/>
      <c r="T630" s="491" t="s">
        <v>509</v>
      </c>
      <c r="U630" s="490"/>
      <c r="V630" s="490"/>
      <c r="W630" s="490"/>
      <c r="X630" s="490"/>
      <c r="Y630" s="490"/>
      <c r="Z630" s="1"/>
      <c r="AA630" s="14"/>
      <c r="AB630" s="381" t="b">
        <f>IF(OR(AND(Annexes!M41=TRUE,AB634&gt;=0.2),AND(Annexes!M42=TRUE,AB634&gt;=0.5)),TRUE,FALSE)</f>
        <v>0</v>
      </c>
      <c r="AC630" s="1"/>
      <c r="AD630" s="1"/>
      <c r="AE630" s="13"/>
    </row>
    <row r="631" spans="1:31" ht="16.5" customHeight="1">
      <c r="A631" s="99"/>
      <c r="B631" s="103"/>
      <c r="C631" s="387"/>
      <c r="D631" s="523" t="str">
        <f>IFERROR(IF('Mon Entreprise'!K8&gt;=Annexes!O20,IF(AB600&gt;=AB602,"- Le CA de référence est celui d'Août 2019, soit une perte de "&amp;ROUND(AB600,0)&amp;" €"&amp;" ==&gt; "&amp;ROUND(AE600*100,0)&amp;" %","- Le CA de référence est celui de la création, soit une perte de "&amp;ROUND(AB602,0)&amp;" €"&amp;" ==&gt; "&amp;ROUND(AE602*100,0)&amp;" %"),IF(AB600&gt;=AB601,"- Le CA de référence est celui d'Août 2019, soit une perte de "&amp;ROUND(AB600,0)&amp;" €"&amp;" ==&gt; "&amp;ROUND(AE600*100,0)&amp;" %","- Le CA de référence est celui de l'exercice 2019, soit une perte de "&amp;ROUND(AB601,0)&amp;" €"&amp;" ==&gt; "&amp;ROUND(AE601*100,0)&amp;" %")),"")</f>
        <v>- Le CA de référence est celui d'Août 2019, soit une perte de 0 € ==&gt; 0 %</v>
      </c>
      <c r="E631" s="523"/>
      <c r="F631" s="523"/>
      <c r="G631" s="523"/>
      <c r="H631" s="523"/>
      <c r="I631" s="523"/>
      <c r="J631" s="523"/>
      <c r="K631" s="523"/>
      <c r="L631" s="523"/>
      <c r="M631" s="523"/>
      <c r="N631" s="523"/>
      <c r="O631" s="523"/>
      <c r="P631" s="1"/>
      <c r="T631" s="14"/>
      <c r="U631" s="381"/>
      <c r="V631" s="381"/>
      <c r="W631" s="381"/>
      <c r="X631" s="381"/>
      <c r="Y631" s="381" t="s">
        <v>505</v>
      </c>
      <c r="Z631" s="1"/>
      <c r="AA631" s="14"/>
      <c r="AB631" s="381" t="b">
        <f>IF(AND(Annexes!M43=TRUE,AB634&gt;=0.2),TRUE,FALSE)</f>
        <v>0</v>
      </c>
      <c r="AC631" s="1"/>
      <c r="AD631" s="1"/>
      <c r="AE631" s="13"/>
    </row>
    <row r="632" spans="1:31" ht="16.5" customHeight="1">
      <c r="A632" s="99"/>
      <c r="B632" s="103"/>
      <c r="C632" s="387"/>
      <c r="D632" s="524" t="str">
        <f>IFERROR(IF('Mon Entreprise'!K8&gt;=Annexes!O20,"",IF(AB600&lt;AB601,"A noter qu'il convient de choisir l'option retenue par l'entreprise lors de sa demande au titre du mois Février ou a défaut celui du mois de Mars, Avril, Mai, Juin ou Juillet 2021, si le CA de référence était celui de février (...) 2019,"&amp;" il convient de prendre celui d'Août 2019, soit "&amp;ROUND(AB600,0)&amp;" €"&amp;" ==&gt; "&amp;ROUND(AE600*100,0)&amp;" %","A noter qu'il convient de choisir l'option retenue par l'entreprise lors de sa demande"&amp;" au titre du mois Février  ou a défaut celui du mois de Mars, Avril, Mai, Juin ou Juillet 2021, si le CA de référence était celui de l'exercice 2019, il convient de prendre celui de l'exercie 2019, soit une perte de "&amp;ROUND(AB601,0)&amp;" €"&amp;" ==&gt; "&amp;ROUND(AE601*100,0)&amp;" %")),"")</f>
        <v>A noter qu'il convient de choisir l'option retenue par l'entreprise lors de sa demande au titre du mois Février  ou a défaut celui du mois de Mars, Avril, Mai, Juin ou Juillet 2021, si le CA de référence était celui de l'exercice 2019, il convient de prendre celui de l'exercie 2019, soit une perte de 0 € ==&gt; 0 %</v>
      </c>
      <c r="E632" s="524"/>
      <c r="F632" s="524"/>
      <c r="G632" s="524"/>
      <c r="H632" s="524"/>
      <c r="I632" s="524"/>
      <c r="J632" s="524"/>
      <c r="K632" s="524"/>
      <c r="L632" s="524"/>
      <c r="M632" s="524"/>
      <c r="N632" s="524"/>
      <c r="O632" s="524"/>
      <c r="P632" s="1"/>
      <c r="T632" s="14"/>
      <c r="U632" s="525" t="s">
        <v>72</v>
      </c>
      <c r="V632" s="525"/>
      <c r="W632" s="525"/>
      <c r="X632" s="525"/>
      <c r="Y632" s="525"/>
      <c r="Z632" s="139"/>
      <c r="AA632" s="145"/>
      <c r="AB632" s="385" t="str">
        <f>IF(AB612="Oui","Oui","Non")</f>
        <v>Oui</v>
      </c>
      <c r="AC632" s="139"/>
      <c r="AD632" s="1"/>
      <c r="AE632" s="13"/>
    </row>
    <row r="633" spans="1:31" ht="16.5" customHeight="1">
      <c r="A633" s="99"/>
      <c r="B633" s="103"/>
      <c r="C633" s="387"/>
      <c r="D633" s="524"/>
      <c r="E633" s="524"/>
      <c r="F633" s="524"/>
      <c r="G633" s="524"/>
      <c r="H633" s="524"/>
      <c r="I633" s="524"/>
      <c r="J633" s="524"/>
      <c r="K633" s="524"/>
      <c r="L633" s="524"/>
      <c r="M633" s="524"/>
      <c r="N633" s="524"/>
      <c r="O633" s="524"/>
      <c r="P633" s="1"/>
      <c r="T633" s="14"/>
      <c r="U633" s="525" t="s">
        <v>84</v>
      </c>
      <c r="V633" s="525"/>
      <c r="W633" s="525"/>
      <c r="X633" s="525"/>
      <c r="Y633" s="525"/>
      <c r="Z633" s="139"/>
      <c r="AA633" s="145"/>
      <c r="AB633" s="385">
        <f>IF('Mon Entreprise'!K8&gt;=Annexes!O20,IF(AB600&gt;=AB602,AB600,AB602),IF(AB600&gt;=AB601,AB600,AB601))</f>
        <v>0</v>
      </c>
      <c r="AC633" s="139"/>
      <c r="AD633" s="1"/>
      <c r="AE633" s="13"/>
    </row>
    <row r="634" spans="1:31" ht="16.5" customHeight="1">
      <c r="B634" s="103"/>
      <c r="C634" s="387"/>
      <c r="D634" s="215"/>
      <c r="E634" s="377"/>
      <c r="F634" s="377"/>
      <c r="G634" s="377"/>
      <c r="H634" s="377"/>
      <c r="I634" s="377"/>
      <c r="J634" s="377"/>
      <c r="K634" s="377"/>
      <c r="L634" s="377"/>
      <c r="M634" s="377"/>
      <c r="N634" s="377"/>
      <c r="O634" s="377"/>
      <c r="P634" s="1"/>
      <c r="T634" s="14"/>
      <c r="U634" s="525" t="s">
        <v>85</v>
      </c>
      <c r="V634" s="525"/>
      <c r="W634" s="525"/>
      <c r="X634" s="525"/>
      <c r="Y634" s="525"/>
      <c r="Z634" s="139"/>
      <c r="AA634" s="145"/>
      <c r="AB634" s="385">
        <f>IF('Mon Entreprise'!K8&gt;=Annexes!O20,IF(AB600&gt;=AB602,AE600,AE602),IF(AB600&gt;=AB601,AE600,AE601))</f>
        <v>0</v>
      </c>
      <c r="AC634" s="139"/>
      <c r="AD634" s="1"/>
      <c r="AE634" s="13"/>
    </row>
    <row r="635" spans="1:31" ht="16.5" customHeight="1" thickBot="1">
      <c r="B635" s="103"/>
      <c r="C635" s="387"/>
      <c r="D635" s="377"/>
      <c r="E635" s="377"/>
      <c r="F635" s="377"/>
      <c r="G635" s="377"/>
      <c r="H635" s="377"/>
      <c r="I635" s="377"/>
      <c r="J635" s="377"/>
      <c r="K635" s="377"/>
      <c r="L635" s="377"/>
      <c r="M635" s="377"/>
      <c r="N635" s="377"/>
      <c r="O635" s="377"/>
      <c r="P635" s="1"/>
      <c r="T635" s="14"/>
      <c r="U635" s="502" t="s">
        <v>74</v>
      </c>
      <c r="V635" s="502"/>
      <c r="W635" s="502"/>
      <c r="X635" s="502"/>
      <c r="Y635" s="502"/>
      <c r="Z635" s="139"/>
      <c r="AA635" s="145"/>
      <c r="AB635" s="385">
        <v>1</v>
      </c>
      <c r="AC635" s="139"/>
      <c r="AD635" s="1"/>
      <c r="AE635" s="13"/>
    </row>
    <row r="636" spans="1:31" ht="16.5" customHeight="1">
      <c r="B636" s="103"/>
      <c r="C636" s="387"/>
      <c r="D636" s="527" t="str">
        <f>IFERROR(IF(AB632="NON","Vous avez débuté votre activité après le 31 Janvier 2020, vous ne pouvez donc pas bénéficier de cette aide",IF(OR(AB627="OUI",AB629="OUI",AND(AB628="OUI",OR(AB622&lt;Annexes!P5,AB623&lt;Annexes!P5,'Mes Aides'!AB198&lt;0.1))),IF(AND(0.2*AB637&gt;Annexes!O8,0.2*AB636&gt;Annexes!O8),"Dans votre cas, l'aide est plafonnée, à "&amp;Annexes!O8&amp;" € pour le mois d'Août",IF(0.2*AB637&gt;=0.2*AB636,"Dans votre cas, 20 % de la perte est supérieur à 20 % du CA, l'aide est donc plafonnée à 20 % du CA, soit "&amp;ROUND(0.2*AB636,0)&amp;" € pour le mois d'Août","Dans votre cas, 20% de la perte est inférieure à 20 % du CA, l'aide est donc plafonnée à 20 % de la perte, soit "&amp;ROUND(0.2*AB637,0)&amp;" € pour le mois d'Août")),"Vous ne faites pas partie des entreprises ayant leur activité mentionnée en annexe 1, ou en annexe 2, avec une perte de CA "&amp;"d'au moins 80 % entre le 15/03/2020 et le 15/05/2020 ou au mois de Novembre 2020 ou une perte de 10 % entre 2019 et 2020, ou domicilié dans les îles d'outre-mer")),"Vous n'avez pas indiqué de chiffre d'affaires de référence")</f>
        <v>Vous ne faites pas partie des entreprises ayant leur activité mentionnée en annexe 1, ou en annexe 2, avec une perte de CA d'au moins 80 % entre le 15/03/2020 et le 15/05/2020 ou au mois de Novembre 2020 ou une perte de 10 % entre 2019 et 2020, ou domicilié dans les îles d'outre-mer</v>
      </c>
      <c r="E636" s="509"/>
      <c r="F636" s="509"/>
      <c r="G636" s="509"/>
      <c r="H636" s="509"/>
      <c r="I636" s="509"/>
      <c r="J636" s="509"/>
      <c r="K636" s="509"/>
      <c r="L636" s="509"/>
      <c r="M636" s="509"/>
      <c r="N636" s="509"/>
      <c r="O636" s="510"/>
      <c r="P636" s="1"/>
      <c r="T636" s="14"/>
      <c r="U636" s="502" t="s">
        <v>80</v>
      </c>
      <c r="V636" s="502"/>
      <c r="W636" s="502"/>
      <c r="X636" s="502"/>
      <c r="Y636" s="502"/>
      <c r="Z636" s="139"/>
      <c r="AA636" s="145"/>
      <c r="AB636" s="385">
        <f>IF('Mon Entreprise'!K8&gt;=Annexes!O20,IF(AB600&gt;=AB602,Y600,Y602),IF(AB600&gt;=AB601,Y600,Y601))</f>
        <v>0</v>
      </c>
      <c r="AC636" s="139"/>
      <c r="AD636" s="1"/>
      <c r="AE636" s="13"/>
    </row>
    <row r="637" spans="1:31" ht="16.5" customHeight="1">
      <c r="B637" s="173"/>
      <c r="C637" s="387"/>
      <c r="D637" s="511"/>
      <c r="E637" s="512"/>
      <c r="F637" s="512"/>
      <c r="G637" s="512"/>
      <c r="H637" s="512"/>
      <c r="I637" s="512"/>
      <c r="J637" s="512"/>
      <c r="K637" s="512"/>
      <c r="L637" s="512"/>
      <c r="M637" s="512"/>
      <c r="N637" s="512"/>
      <c r="O637" s="513"/>
      <c r="P637" s="1"/>
      <c r="T637" s="14"/>
      <c r="U637" s="490" t="s">
        <v>104</v>
      </c>
      <c r="V637" s="490"/>
      <c r="W637" s="490"/>
      <c r="X637" s="490"/>
      <c r="Y637" s="490"/>
      <c r="Z637" s="1"/>
      <c r="AA637" s="14"/>
      <c r="AB637" s="381">
        <f>IF(AB635=1,AB633,IF(AB633*AB635&gt;1500,IF(AB633&gt;1500,AB633*AB635,"Impossible"),IF(AB633&lt;1500,AB633,1500)))</f>
        <v>0</v>
      </c>
      <c r="AC637" s="1"/>
      <c r="AD637" s="1"/>
      <c r="AE637" s="13"/>
    </row>
    <row r="638" spans="1:31" ht="16.5" customHeight="1">
      <c r="B638" s="103"/>
      <c r="C638" s="387"/>
      <c r="D638" s="511"/>
      <c r="E638" s="512"/>
      <c r="F638" s="512"/>
      <c r="G638" s="512"/>
      <c r="H638" s="512"/>
      <c r="I638" s="512"/>
      <c r="J638" s="512"/>
      <c r="K638" s="512"/>
      <c r="L638" s="512"/>
      <c r="M638" s="512"/>
      <c r="N638" s="512"/>
      <c r="O638" s="513"/>
      <c r="P638" s="1"/>
      <c r="T638" s="14"/>
      <c r="U638" s="381"/>
      <c r="V638" s="381"/>
      <c r="W638" s="381"/>
      <c r="X638" s="381"/>
      <c r="Y638" s="381"/>
      <c r="Z638" s="1"/>
      <c r="AA638" s="1"/>
      <c r="AB638" s="1"/>
      <c r="AC638" s="1"/>
      <c r="AD638" s="1"/>
      <c r="AE638" s="13"/>
    </row>
    <row r="639" spans="1:31" ht="16.5" customHeight="1" thickBot="1">
      <c r="B639" s="103"/>
      <c r="C639" s="387"/>
      <c r="D639" s="514"/>
      <c r="E639" s="515"/>
      <c r="F639" s="515"/>
      <c r="G639" s="515"/>
      <c r="H639" s="515"/>
      <c r="I639" s="515"/>
      <c r="J639" s="515"/>
      <c r="K639" s="515"/>
      <c r="L639" s="515"/>
      <c r="M639" s="515"/>
      <c r="N639" s="515"/>
      <c r="O639" s="516"/>
      <c r="P639" s="1"/>
      <c r="T639" s="14"/>
      <c r="U639" s="490"/>
      <c r="V639" s="490"/>
      <c r="W639" s="490"/>
      <c r="X639" s="490"/>
      <c r="Y639" s="490"/>
      <c r="Z639" s="1"/>
      <c r="AA639" s="1"/>
      <c r="AB639" s="1"/>
      <c r="AC639" s="1"/>
      <c r="AD639" s="1"/>
      <c r="AE639" s="13"/>
    </row>
    <row r="640" spans="1:31" ht="16.5" customHeight="1">
      <c r="B640" s="103"/>
      <c r="C640" s="387"/>
      <c r="D640" s="565" t="s">
        <v>528</v>
      </c>
      <c r="E640" s="565"/>
      <c r="F640" s="565"/>
      <c r="G640" s="565"/>
      <c r="H640" s="565"/>
      <c r="I640" s="565"/>
      <c r="J640" s="565"/>
      <c r="K640" s="565"/>
      <c r="L640" s="565"/>
      <c r="M640" s="565"/>
      <c r="N640" s="565"/>
      <c r="O640" s="565"/>
      <c r="P640" s="1"/>
      <c r="T640" s="14"/>
      <c r="U640" s="381"/>
      <c r="V640" s="381"/>
      <c r="W640" s="381"/>
      <c r="X640" s="381"/>
      <c r="Y640" s="381"/>
      <c r="Z640" s="1"/>
      <c r="AA640" s="1"/>
      <c r="AB640" s="1"/>
      <c r="AC640" s="1"/>
      <c r="AD640" s="1"/>
      <c r="AE640" s="13"/>
    </row>
    <row r="641" spans="2:31" ht="16.5" customHeight="1">
      <c r="B641" s="103"/>
      <c r="C641" s="169"/>
      <c r="D641" s="174"/>
      <c r="E641" s="174"/>
      <c r="F641" s="174"/>
      <c r="G641" s="174"/>
      <c r="H641" s="174"/>
      <c r="I641" s="174"/>
      <c r="J641" s="174"/>
      <c r="K641" s="174"/>
      <c r="L641" s="174"/>
      <c r="M641" s="174"/>
      <c r="N641" s="174"/>
      <c r="O641" s="174"/>
      <c r="P641" s="1"/>
      <c r="T641" s="14"/>
      <c r="U641" s="381"/>
      <c r="V641" s="381"/>
      <c r="W641" s="381"/>
      <c r="X641" s="381"/>
      <c r="Y641" s="381"/>
      <c r="Z641" s="1"/>
      <c r="AA641" s="1"/>
      <c r="AB641" s="1"/>
      <c r="AC641" s="1"/>
      <c r="AD641" s="1"/>
      <c r="AE641" s="13"/>
    </row>
    <row r="642" spans="2:31" ht="16.5" customHeight="1">
      <c r="B642" s="103"/>
      <c r="C642" s="387"/>
      <c r="D642" s="377"/>
      <c r="E642" s="377"/>
      <c r="F642" s="377"/>
      <c r="G642" s="377"/>
      <c r="H642" s="377"/>
      <c r="I642" s="377"/>
      <c r="J642" s="377"/>
      <c r="K642" s="377"/>
      <c r="L642" s="377"/>
      <c r="M642" s="377"/>
      <c r="N642" s="377"/>
      <c r="O642" s="377"/>
      <c r="P642" s="1"/>
      <c r="T642" s="14"/>
      <c r="U642" s="1"/>
      <c r="V642" s="1"/>
      <c r="W642" s="1"/>
      <c r="X642" s="1"/>
      <c r="Y642" s="1"/>
      <c r="Z642" s="1"/>
      <c r="AA642" s="1"/>
      <c r="AB642" s="1"/>
      <c r="AC642" s="1"/>
      <c r="AD642" s="1"/>
      <c r="AE642" s="13"/>
    </row>
    <row r="643" spans="2:31" ht="16.5" customHeight="1">
      <c r="B643" s="103"/>
      <c r="C643" s="529" t="s">
        <v>511</v>
      </c>
      <c r="D643" s="529"/>
      <c r="E643" s="529"/>
      <c r="F643" s="529"/>
      <c r="G643" s="529"/>
      <c r="H643" s="529"/>
      <c r="I643" s="529"/>
      <c r="J643" s="529"/>
      <c r="K643" s="529"/>
      <c r="L643" s="529"/>
      <c r="M643" s="529"/>
      <c r="N643" s="529"/>
      <c r="O643" s="529"/>
      <c r="P643" s="1"/>
      <c r="T643" s="14"/>
      <c r="U643" s="1"/>
      <c r="V643" s="1"/>
      <c r="W643" s="1"/>
      <c r="X643" s="1"/>
      <c r="Y643" s="1"/>
      <c r="Z643" s="1"/>
      <c r="AA643" s="1"/>
      <c r="AB643" s="1"/>
      <c r="AC643" s="1"/>
      <c r="AD643" s="1"/>
      <c r="AE643" s="13"/>
    </row>
    <row r="644" spans="2:31" ht="16.5" customHeight="1">
      <c r="B644" s="103"/>
      <c r="C644" s="529"/>
      <c r="D644" s="529"/>
      <c r="E644" s="529"/>
      <c r="F644" s="529"/>
      <c r="G644" s="529"/>
      <c r="H644" s="529"/>
      <c r="I644" s="529"/>
      <c r="J644" s="529"/>
      <c r="K644" s="529"/>
      <c r="L644" s="529"/>
      <c r="M644" s="529"/>
      <c r="N644" s="529"/>
      <c r="O644" s="529"/>
      <c r="P644" s="1"/>
      <c r="T644" s="14"/>
      <c r="U644" s="1"/>
      <c r="V644" s="1"/>
      <c r="W644" s="1"/>
      <c r="X644" s="1"/>
      <c r="Y644" s="1"/>
      <c r="Z644" s="1"/>
      <c r="AA644" s="1"/>
      <c r="AB644" s="1"/>
      <c r="AC644" s="1"/>
      <c r="AD644" s="1"/>
      <c r="AE644" s="13"/>
    </row>
    <row r="645" spans="2:31" ht="16.5" customHeight="1">
      <c r="B645" s="173"/>
      <c r="C645" s="387"/>
      <c r="D645" s="306"/>
      <c r="E645" s="528" t="str">
        <f>IF(AB632="NON","",IF(AB630=TRUE,"","L'entreprise n'a pas été en fermeture Administrative avec 20 % de perte de CA ou fermeture Administrative de 21 jours avec 50 % de perte  de CA"))</f>
        <v>L'entreprise n'a pas été en fermeture Administrative avec 20 % de perte de CA ou fermeture Administrative de 21 jours avec 50 % de perte  de CA</v>
      </c>
      <c r="F645" s="528"/>
      <c r="G645" s="528"/>
      <c r="H645" s="528"/>
      <c r="I645" s="528"/>
      <c r="J645" s="528"/>
      <c r="K645" s="528"/>
      <c r="L645" s="528"/>
      <c r="M645" s="528"/>
      <c r="N645" s="528"/>
      <c r="O645" s="528"/>
      <c r="P645" s="1"/>
      <c r="T645" s="14"/>
      <c r="U645" s="502" t="s">
        <v>82</v>
      </c>
      <c r="V645" s="502"/>
      <c r="W645" s="502"/>
      <c r="X645" s="502"/>
      <c r="Y645" s="502"/>
      <c r="Z645" s="68"/>
      <c r="AA645" s="1"/>
      <c r="AB645" s="1">
        <f>IFERROR(IF(AB612="Non",0,IF(AND(AB631=TRUE,AB615&gt;=0.2),IF(AB614&gt;Annexes!O5,Annexes!O5,ROUND(AB614,0)),0)),0)</f>
        <v>0</v>
      </c>
      <c r="AC645" s="1"/>
      <c r="AD645" s="1"/>
      <c r="AE645" s="13"/>
    </row>
    <row r="646" spans="2:31" ht="16.5" customHeight="1">
      <c r="B646" s="173"/>
      <c r="C646" s="387"/>
      <c r="D646" s="306"/>
      <c r="E646" s="528"/>
      <c r="F646" s="528"/>
      <c r="G646" s="528"/>
      <c r="H646" s="528"/>
      <c r="I646" s="528"/>
      <c r="J646" s="528"/>
      <c r="K646" s="528"/>
      <c r="L646" s="528"/>
      <c r="M646" s="528"/>
      <c r="N646" s="528"/>
      <c r="O646" s="528"/>
      <c r="P646" s="1"/>
      <c r="T646" s="14"/>
      <c r="U646" s="502" t="s">
        <v>478</v>
      </c>
      <c r="V646" s="502"/>
      <c r="W646" s="502"/>
      <c r="X646" s="502"/>
      <c r="Y646" s="502"/>
      <c r="Z646" s="68"/>
      <c r="AA646" s="1"/>
      <c r="AB646" s="1">
        <f>IFERROR(IF(AB632="NON",0,IF(OR(AB627="OUI",AB629="OUI",AND(AB628="OUI",OR(AB622&lt;Annexes!P5,AB623&lt;Annexes!P5,'Mes Aides'!AB198&lt;0.1))),IF(AND(0.2*AB637,0.2*AB636)&lt;Annexes!O8,Annexes!O8,IF(0.2*AB637&gt;=0.2*AB636,ROUND(0.2*AB636,0),ROUND(0.2*AB637,0))),0)),0)</f>
        <v>0</v>
      </c>
      <c r="AC646" s="1"/>
      <c r="AD646" s="1"/>
      <c r="AE646" s="13"/>
    </row>
    <row r="647" spans="2:31" ht="15" customHeight="1">
      <c r="B647" s="173"/>
      <c r="C647" s="387"/>
      <c r="D647" s="306"/>
      <c r="E647" s="353"/>
      <c r="F647" s="353"/>
      <c r="G647" s="353"/>
      <c r="H647" s="353"/>
      <c r="I647" s="353"/>
      <c r="J647" s="353"/>
      <c r="K647" s="353"/>
      <c r="L647" s="353"/>
      <c r="M647" s="353"/>
      <c r="N647" s="353"/>
      <c r="O647" s="353"/>
      <c r="P647" s="1"/>
      <c r="T647" s="14"/>
      <c r="U647" s="502" t="s">
        <v>478</v>
      </c>
      <c r="V647" s="502"/>
      <c r="W647" s="502"/>
      <c r="X647" s="502"/>
      <c r="Y647" s="502"/>
      <c r="Z647" s="68"/>
      <c r="AA647" s="1"/>
      <c r="AB647" s="1">
        <f>IFERROR(IF(AB632="NON",0,IF(AB630=TRUE,IF(AB636*0.2&gt;Annexes!O8,Annexes!O8,ROUND(AB636*0.2,0)),0)),0)</f>
        <v>0</v>
      </c>
      <c r="AC647" s="1"/>
      <c r="AD647" s="1"/>
      <c r="AE647" s="13"/>
    </row>
    <row r="648" spans="2:31" ht="15" customHeight="1">
      <c r="B648" s="173"/>
      <c r="C648" s="387"/>
      <c r="D648" s="417" t="str">
        <f>IFERROR(IF('Mon Entreprise'!K8&gt;=Annexes!O20,IF(AB600&gt;=AB602,"- Le CA de référence est celui d'Août 2019, soit une perte de "&amp;ROUND(AB600,0)&amp;" €"&amp;" ==&gt; "&amp;ROUND(AE600*100,0)&amp;" %","- Le CA de référence est celui de la création, soit une perte de "&amp;ROUND(AB602,0)&amp;" €"&amp;" ==&gt; "&amp;ROUND(AE602*100,0)&amp;" %"),IF(AB600&gt;=AB601,"- Le CA de référence est celui d'Août 2019, soit une perte de "&amp;ROUND(AB600,0)&amp;" €"&amp;" ==&gt; "&amp;ROUND(AE600*100,0)&amp;" %","- Le CA de référence est celui de l'exercice 2019, soit une perte de "&amp;ROUND(AB601,0)&amp;" €"&amp;" ==&gt; "&amp;ROUND(AE601*100,0)&amp;" %")),"")</f>
        <v>- Le CA de référence est celui d'Août 2019, soit une perte de 0 € ==&gt; 0 %</v>
      </c>
      <c r="E648" s="417"/>
      <c r="F648" s="417"/>
      <c r="G648" s="417"/>
      <c r="H648" s="417"/>
      <c r="I648" s="417"/>
      <c r="J648" s="417"/>
      <c r="K648" s="417"/>
      <c r="L648" s="417"/>
      <c r="M648" s="417"/>
      <c r="N648" s="417"/>
      <c r="O648" s="417"/>
      <c r="P648" s="377"/>
      <c r="Q648" s="377"/>
      <c r="T648" s="14"/>
      <c r="U648" s="1"/>
      <c r="V648" s="1"/>
      <c r="W648" s="1"/>
      <c r="X648" s="1"/>
      <c r="Y648" s="1"/>
      <c r="Z648" s="1"/>
      <c r="AA648" s="1"/>
      <c r="AB648" s="1"/>
      <c r="AC648" s="1"/>
      <c r="AD648" s="1"/>
      <c r="AE648" s="13"/>
    </row>
    <row r="649" spans="2:31" ht="16.5" customHeight="1">
      <c r="B649" s="173"/>
      <c r="C649" s="387"/>
      <c r="D649" s="524" t="str">
        <f>IFERROR(IF('Mon Entreprise'!K8&gt;=Annexes!O20,"",IF(AB600&lt;AB601,"A noter qu'il convient de choisir l'option retenue par l'entreprise lors de sa demande au titre du mois Février ou a défaut celui du mois de Mars, Avril, Mai, Juin ou Juillet 2021, si le CA de référence était celui de février (...) 2019, il convient"&amp;" de prendre celui d'Août 2019 (...), soit "&amp;ROUND(AB600,0)&amp;" €"&amp;" ==&gt; "&amp;ROUND(AE600*100,0)&amp;" %","A noter qu'il convient de choisir l'option retenue par l'entreprise lors de sa demande au titre du mois Février "&amp;"ou a défaut celui du mois de Mars, d'Avril, Mai, Juin ou Juillet 2021, si le CA de référence était celui de l'exercice 2019, il convient de prendre celui de l'exercie 2019, soit une perte de "&amp;ROUND(AB601,0)&amp;" €"&amp;" ==&gt; "&amp;ROUND(AE601*100,0)&amp;" %")),"")</f>
        <v>A noter qu'il convient de choisir l'option retenue par l'entreprise lors de sa demande au titre du mois Février ou a défaut celui du mois de Mars, d'Avril, Mai, Juin ou Juillet 2021, si le CA de référence était celui de l'exercice 2019, il convient de prendre celui de l'exercie 2019, soit une perte de 0 € ==&gt; 0 %</v>
      </c>
      <c r="E649" s="524"/>
      <c r="F649" s="524"/>
      <c r="G649" s="524"/>
      <c r="H649" s="524"/>
      <c r="I649" s="524"/>
      <c r="J649" s="524"/>
      <c r="K649" s="524"/>
      <c r="L649" s="524"/>
      <c r="M649" s="524"/>
      <c r="N649" s="524"/>
      <c r="O649" s="524"/>
      <c r="P649" s="377"/>
      <c r="Q649" s="377"/>
      <c r="T649" s="14"/>
      <c r="U649" s="1"/>
      <c r="V649" s="1"/>
      <c r="W649" s="1"/>
      <c r="X649" s="1"/>
      <c r="Y649" s="1"/>
      <c r="Z649" s="1"/>
      <c r="AA649" s="1"/>
      <c r="AB649" s="1"/>
      <c r="AC649" s="1"/>
      <c r="AD649" s="1"/>
      <c r="AE649" s="13"/>
    </row>
    <row r="650" spans="2:31" ht="16.5" customHeight="1">
      <c r="B650" s="173"/>
      <c r="C650" s="387"/>
      <c r="D650" s="524"/>
      <c r="E650" s="524"/>
      <c r="F650" s="524"/>
      <c r="G650" s="524"/>
      <c r="H650" s="524"/>
      <c r="I650" s="524"/>
      <c r="J650" s="524"/>
      <c r="K650" s="524"/>
      <c r="L650" s="524"/>
      <c r="M650" s="524"/>
      <c r="N650" s="524"/>
      <c r="O650" s="524"/>
      <c r="P650" s="377"/>
      <c r="Q650" s="377"/>
      <c r="T650" s="14"/>
      <c r="U650" s="1"/>
      <c r="V650" s="1"/>
      <c r="W650" s="1"/>
      <c r="X650" s="1"/>
      <c r="Y650" s="1"/>
      <c r="Z650" s="1"/>
      <c r="AA650" s="1"/>
      <c r="AB650" s="1"/>
      <c r="AC650" s="1"/>
      <c r="AD650" s="1"/>
      <c r="AE650" s="13"/>
    </row>
    <row r="651" spans="2:31" ht="16.5" customHeight="1" thickBot="1">
      <c r="B651" s="168"/>
      <c r="C651" s="387"/>
      <c r="D651" s="205"/>
      <c r="E651" s="377"/>
      <c r="F651" s="377"/>
      <c r="G651" s="377"/>
      <c r="H651" s="377"/>
      <c r="I651" s="377"/>
      <c r="J651" s="377"/>
      <c r="K651" s="377"/>
      <c r="L651" s="377"/>
      <c r="M651" s="377"/>
      <c r="N651" s="377"/>
      <c r="O651" s="377"/>
      <c r="P651" s="377"/>
      <c r="Q651" s="377"/>
      <c r="T651" s="14"/>
      <c r="U651" s="1"/>
      <c r="V651" s="1"/>
      <c r="W651" s="1"/>
      <c r="X651" s="1"/>
      <c r="Y651" s="1"/>
      <c r="Z651" s="1"/>
      <c r="AA651" s="1"/>
      <c r="AB651" s="1"/>
      <c r="AC651" s="1"/>
      <c r="AD651" s="1"/>
      <c r="AE651" s="13"/>
    </row>
    <row r="652" spans="2:31" ht="16.5" customHeight="1">
      <c r="B652" s="103"/>
      <c r="C652" s="180"/>
      <c r="D652" s="526" t="str">
        <f>IFERROR(IF(AB632="NON","Vous avez débuté votre activité après le 31 Janvier 2020, vous ne pouvez donc pas bénéficier de cette aide",IF(AB630=TRUE,IF(AB636*0.2&gt;Annexes!O8,"Dans votre cas, l'aide est plafonnée, à "&amp;Annexes!O8&amp;" € pour le mois d'Août","Dans votre cas, l'aide est plafonnée à 20 % du CA, soit "&amp;ROUND(AB636*0.2,0)&amp;" € pour le mois d'Août"),"Vous ne faites pas partie des entreprises en fermeture Administrative avec 20 % de perte de CA ou fermeture Administrative avec 20 % de perte de CA ou en fermeture Administrative de 21 jours avec 50 % de perte de CA")),"Vous n'avez pas indiqué de chiffre d'affaires de référence")</f>
        <v>Vous ne faites pas partie des entreprises en fermeture Administrative avec 20 % de perte de CA ou fermeture Administrative avec 20 % de perte de CA ou en fermeture Administrative de 21 jours avec 50 % de perte de CA</v>
      </c>
      <c r="E652" s="509"/>
      <c r="F652" s="509"/>
      <c r="G652" s="509"/>
      <c r="H652" s="509"/>
      <c r="I652" s="509"/>
      <c r="J652" s="509"/>
      <c r="K652" s="509"/>
      <c r="L652" s="509"/>
      <c r="M652" s="509"/>
      <c r="N652" s="509"/>
      <c r="O652" s="510"/>
      <c r="P652" s="377"/>
      <c r="Q652" s="377"/>
      <c r="T652" s="14"/>
      <c r="U652" s="1"/>
      <c r="V652" s="1"/>
      <c r="W652" s="1"/>
      <c r="X652" s="1"/>
      <c r="Y652" s="1"/>
      <c r="Z652" s="1"/>
      <c r="AA652" s="1"/>
      <c r="AB652" s="1"/>
      <c r="AC652" s="1"/>
      <c r="AD652" s="1"/>
      <c r="AE652" s="13"/>
    </row>
    <row r="653" spans="2:31" ht="16.5" customHeight="1">
      <c r="B653" s="103"/>
      <c r="C653" s="180"/>
      <c r="D653" s="511"/>
      <c r="E653" s="512"/>
      <c r="F653" s="512"/>
      <c r="G653" s="512"/>
      <c r="H653" s="512"/>
      <c r="I653" s="512"/>
      <c r="J653" s="512"/>
      <c r="K653" s="512"/>
      <c r="L653" s="512"/>
      <c r="M653" s="512"/>
      <c r="N653" s="512"/>
      <c r="O653" s="513"/>
      <c r="P653" s="377"/>
      <c r="Q653" s="377"/>
      <c r="T653" s="14"/>
      <c r="U653" s="1"/>
      <c r="V653" s="1"/>
      <c r="W653" s="1"/>
      <c r="X653" s="1"/>
      <c r="Y653" s="1"/>
      <c r="Z653" s="1"/>
      <c r="AA653" s="1"/>
      <c r="AB653" s="1"/>
      <c r="AC653" s="1"/>
      <c r="AD653" s="1"/>
      <c r="AE653" s="13"/>
    </row>
    <row r="654" spans="2:31" ht="16.5" customHeight="1">
      <c r="B654" s="103"/>
      <c r="C654" s="180"/>
      <c r="D654" s="511"/>
      <c r="E654" s="512"/>
      <c r="F654" s="512"/>
      <c r="G654" s="512"/>
      <c r="H654" s="512"/>
      <c r="I654" s="512"/>
      <c r="J654" s="512"/>
      <c r="K654" s="512"/>
      <c r="L654" s="512"/>
      <c r="M654" s="512"/>
      <c r="N654" s="512"/>
      <c r="O654" s="513"/>
      <c r="P654" s="175"/>
      <c r="Q654" s="175"/>
      <c r="T654" s="14"/>
      <c r="U654" s="1"/>
      <c r="V654" s="1"/>
      <c r="W654" s="1"/>
      <c r="X654" s="1"/>
      <c r="Y654" s="1"/>
      <c r="Z654" s="1"/>
      <c r="AA654" s="1"/>
      <c r="AB654" s="1"/>
      <c r="AC654" s="1"/>
      <c r="AD654" s="1"/>
      <c r="AE654" s="13"/>
    </row>
    <row r="655" spans="2:31" ht="16.5" customHeight="1" thickBot="1">
      <c r="B655" s="103"/>
      <c r="C655" s="180"/>
      <c r="D655" s="514"/>
      <c r="E655" s="515"/>
      <c r="F655" s="515"/>
      <c r="G655" s="515"/>
      <c r="H655" s="515"/>
      <c r="I655" s="515"/>
      <c r="J655" s="515"/>
      <c r="K655" s="515"/>
      <c r="L655" s="515"/>
      <c r="M655" s="515"/>
      <c r="N655" s="515"/>
      <c r="O655" s="516"/>
      <c r="T655" s="14"/>
      <c r="U655" s="1"/>
      <c r="V655" s="1"/>
      <c r="W655" s="1"/>
      <c r="X655" s="1"/>
      <c r="Y655" s="1"/>
      <c r="Z655" s="1"/>
      <c r="AA655" s="1"/>
      <c r="AB655" s="1"/>
      <c r="AC655" s="1"/>
      <c r="AD655" s="1"/>
      <c r="AE655" s="13"/>
    </row>
    <row r="656" spans="2:31" ht="16.5" customHeight="1">
      <c r="B656" s="5"/>
      <c r="C656" s="5"/>
      <c r="D656" s="354"/>
      <c r="E656" s="354"/>
      <c r="F656" s="354"/>
      <c r="G656" s="354"/>
      <c r="H656" s="354"/>
      <c r="I656" s="354"/>
      <c r="J656" s="354"/>
      <c r="K656" s="354"/>
      <c r="L656" s="354"/>
      <c r="M656" s="354"/>
      <c r="N656" s="354"/>
      <c r="O656" s="354"/>
      <c r="P656" s="177"/>
      <c r="Q656" s="177"/>
      <c r="T656" s="14"/>
      <c r="U656" s="1"/>
      <c r="V656" s="1"/>
      <c r="W656" s="1"/>
      <c r="X656" s="1"/>
      <c r="Y656" s="1"/>
      <c r="Z656" s="1"/>
      <c r="AA656" s="1"/>
      <c r="AB656" s="1"/>
      <c r="AC656" s="1"/>
      <c r="AD656" s="1"/>
      <c r="AE656" s="13"/>
    </row>
    <row r="657" spans="2:31" ht="16.5" customHeight="1">
      <c r="B657" s="5"/>
      <c r="C657" s="5"/>
      <c r="D657" s="355"/>
      <c r="E657" s="355"/>
      <c r="F657" s="355"/>
      <c r="G657" s="355"/>
      <c r="H657" s="355"/>
      <c r="I657" s="355"/>
      <c r="J657" s="355"/>
      <c r="K657" s="355"/>
      <c r="L657" s="355"/>
      <c r="M657" s="355"/>
      <c r="N657" s="355"/>
      <c r="O657" s="355"/>
      <c r="P657" s="177"/>
      <c r="Q657" s="177"/>
      <c r="T657" s="14"/>
      <c r="U657" s="1"/>
      <c r="V657" s="1"/>
      <c r="W657" s="1"/>
      <c r="X657" s="1"/>
      <c r="Y657" s="1"/>
      <c r="Z657" s="1"/>
      <c r="AA657" s="1"/>
      <c r="AB657" s="1"/>
      <c r="AC657" s="1"/>
      <c r="AD657" s="1"/>
      <c r="AE657" s="13"/>
    </row>
    <row r="658" spans="2:31" ht="16.5" thickBot="1">
      <c r="B658" s="220"/>
      <c r="C658" s="488" t="s">
        <v>19</v>
      </c>
      <c r="D658" s="488"/>
      <c r="E658" s="488"/>
      <c r="F658" s="488"/>
      <c r="G658" s="488"/>
      <c r="H658" s="488"/>
      <c r="I658" s="221"/>
      <c r="J658" s="221"/>
      <c r="K658" s="221"/>
      <c r="L658" s="221"/>
      <c r="M658" s="221"/>
      <c r="N658" s="221"/>
      <c r="O658" s="221"/>
      <c r="T658" s="16"/>
      <c r="U658" s="11"/>
      <c r="V658" s="11"/>
      <c r="W658" s="11"/>
      <c r="X658" s="11"/>
      <c r="Y658" s="11"/>
      <c r="Z658" s="11"/>
      <c r="AA658" s="11"/>
      <c r="AB658" s="11"/>
      <c r="AC658" s="11"/>
      <c r="AD658" s="11"/>
      <c r="AE658" s="12"/>
    </row>
    <row r="659" spans="2:31" ht="15" customHeight="1">
      <c r="B659" s="63"/>
      <c r="C659" s="24"/>
      <c r="D659" s="24"/>
      <c r="E659" s="24"/>
      <c r="F659" s="24"/>
      <c r="G659" s="24"/>
      <c r="H659" s="103"/>
      <c r="I659" s="1"/>
      <c r="J659" s="1"/>
      <c r="K659" s="1"/>
      <c r="L659" s="1"/>
      <c r="M659" s="1"/>
      <c r="N659" s="1"/>
      <c r="O659" s="1"/>
      <c r="T659" s="14"/>
      <c r="U659" s="1"/>
      <c r="V659" s="1"/>
      <c r="W659" s="1"/>
      <c r="X659" s="1"/>
      <c r="Y659" s="1"/>
      <c r="Z659" s="1"/>
      <c r="AA659" s="1"/>
      <c r="AB659" s="1"/>
      <c r="AC659" s="1"/>
      <c r="AD659" s="1"/>
      <c r="AE659" s="13"/>
    </row>
    <row r="660" spans="2:31" ht="15" customHeight="1">
      <c r="B660" s="103"/>
      <c r="C660" s="489" t="s">
        <v>521</v>
      </c>
      <c r="D660" s="489"/>
      <c r="E660" s="489"/>
      <c r="F660" s="489"/>
      <c r="G660" s="489"/>
      <c r="H660" s="489"/>
      <c r="I660" s="489"/>
      <c r="J660" s="489"/>
      <c r="K660" s="489"/>
      <c r="L660" s="489"/>
      <c r="M660" s="489"/>
      <c r="N660" s="489"/>
      <c r="O660" s="489"/>
      <c r="P660" s="1"/>
      <c r="T660" s="25"/>
      <c r="U660" s="490" t="s">
        <v>20</v>
      </c>
      <c r="V660" s="490"/>
      <c r="W660" s="490"/>
      <c r="X660" s="1"/>
      <c r="Y660" s="390" t="s">
        <v>6</v>
      </c>
      <c r="Z660" s="390"/>
      <c r="AA660" s="390"/>
      <c r="AB660" s="390" t="s">
        <v>23</v>
      </c>
      <c r="AC660" s="390"/>
      <c r="AD660" s="390"/>
      <c r="AE660" s="26" t="s">
        <v>24</v>
      </c>
    </row>
    <row r="661" spans="2:31" ht="15.75" customHeight="1">
      <c r="B661" s="103"/>
      <c r="C661" s="387"/>
      <c r="D661" s="60" t="s">
        <v>435</v>
      </c>
      <c r="E661" s="387"/>
      <c r="F661" s="387"/>
      <c r="G661" s="387"/>
      <c r="H661" s="387"/>
      <c r="I661" s="387"/>
      <c r="J661" s="387"/>
      <c r="K661" s="387"/>
      <c r="L661" s="387"/>
      <c r="M661" s="387"/>
      <c r="N661" s="387"/>
      <c r="O661" s="387"/>
      <c r="P661" s="1"/>
      <c r="T661" s="25"/>
      <c r="U661" s="390"/>
      <c r="V661" s="390"/>
      <c r="W661" s="390"/>
      <c r="X661" s="1"/>
      <c r="Y661" s="390"/>
      <c r="Z661" s="390"/>
      <c r="AA661" s="390"/>
      <c r="AB661" s="390"/>
      <c r="AC661" s="390"/>
      <c r="AD661" s="390"/>
      <c r="AE661" s="26"/>
    </row>
    <row r="662" spans="2:31" ht="15.75" hidden="1">
      <c r="B662" s="103"/>
      <c r="C662" s="387"/>
      <c r="D662" s="60"/>
      <c r="E662" s="387"/>
      <c r="F662" s="387"/>
      <c r="G662" s="387"/>
      <c r="H662" s="387"/>
      <c r="I662" s="387"/>
      <c r="J662" s="387"/>
      <c r="K662" s="387"/>
      <c r="L662" s="387"/>
      <c r="M662" s="387"/>
      <c r="N662" s="387"/>
      <c r="O662" s="387"/>
      <c r="P662" s="1"/>
      <c r="T662" s="491" t="s">
        <v>527</v>
      </c>
      <c r="U662" s="490"/>
      <c r="V662" s="490"/>
      <c r="W662" s="490"/>
      <c r="X662" s="1"/>
      <c r="Y662" s="7">
        <f>'Mon Entreprise'!I138</f>
        <v>0</v>
      </c>
      <c r="Z662" s="133"/>
      <c r="AA662" s="21"/>
      <c r="AB662" s="7">
        <f>IF('Mon Entreprise'!I138-'Mon Entreprise'!M138&lt;0,0,'Mon Entreprise'!I138-'Mon Entreprise'!M138)</f>
        <v>0</v>
      </c>
      <c r="AC662" s="13"/>
      <c r="AD662" s="1"/>
      <c r="AE662" s="27">
        <f>IFERROR(1-'Mon Entreprise'!M138/'Mon Entreprise'!I138,0)</f>
        <v>0</v>
      </c>
    </row>
    <row r="663" spans="2:31" ht="15.75" hidden="1">
      <c r="B663" s="103"/>
      <c r="C663" s="387"/>
      <c r="D663" s="492" t="str">
        <f>IFERROR(IF(AND(AB707=0,AB708=0,AB709=0),"Vous ne pouvez pas bénéficier du fonds de solidarité pour le mois de Septembre 2021",IF(AND(AB709&gt;AB708,AB709&gt;AB707),"Votre entreprise peut bénéficier d'une aide de "&amp;AB709&amp;" €, au titre d'une fermeture Administrative avec une perte de 20 % de CA",IF(AB708&gt;AB707,"Votre entreprise peut bénéficier d'une aide de "&amp;AB708&amp;" €, au titre des entreprises ayant leur activité mentionnée en annexe 1, ou en annexe 2, avec une perte de CA "&amp;"d'au moins 80 % entre le 15/03/2020 et le 15/05/2020 ou au mois de Novembre 2020 ou une perte de 10 % entre 2019 et 2020, ou domicilié dans les îles d'outre-mer","Votre entreprise peut bénéficier d'une aide de "&amp;AB707&amp;" €, au titre d'une fermeture administrative d'au moins 10 jours et d'une perte d'au-moins 50 % de votre CA en Septembre 2021"))),"Vous n'avez pas indiqué de chiffre d'affaires de référence")</f>
        <v>Vous ne pouvez pas bénéficier du fonds de solidarité pour le mois de Septembre 2021</v>
      </c>
      <c r="E663" s="493"/>
      <c r="F663" s="493"/>
      <c r="G663" s="493"/>
      <c r="H663" s="493"/>
      <c r="I663" s="493"/>
      <c r="J663" s="493"/>
      <c r="K663" s="493"/>
      <c r="L663" s="493"/>
      <c r="M663" s="493"/>
      <c r="N663" s="493"/>
      <c r="O663" s="494"/>
      <c r="P663" s="1"/>
      <c r="T663" s="491" t="s">
        <v>25</v>
      </c>
      <c r="U663" s="490"/>
      <c r="V663" s="490"/>
      <c r="W663" s="490"/>
      <c r="X663" s="1"/>
      <c r="Y663" s="7">
        <f>'Mon Entreprise'!I98</f>
        <v>0</v>
      </c>
      <c r="Z663" s="133"/>
      <c r="AA663" s="21"/>
      <c r="AB663" s="7">
        <f>IF('Mon Entreprise'!I98-'Mon Entreprise'!M138&lt;0,0,'Mon Entreprise'!I98-'Mon Entreprise'!M138)</f>
        <v>0</v>
      </c>
      <c r="AC663" s="36"/>
      <c r="AD663" s="1"/>
      <c r="AE663" s="27">
        <f>IFERROR(1-'Mon Entreprise'!M138/'Mon Entreprise'!I98,0)</f>
        <v>0</v>
      </c>
    </row>
    <row r="664" spans="2:31" ht="15.75" hidden="1" customHeight="1">
      <c r="B664" s="103"/>
      <c r="C664" s="387"/>
      <c r="D664" s="495"/>
      <c r="E664" s="496"/>
      <c r="F664" s="496"/>
      <c r="G664" s="496"/>
      <c r="H664" s="496"/>
      <c r="I664" s="496"/>
      <c r="J664" s="496"/>
      <c r="K664" s="496"/>
      <c r="L664" s="496"/>
      <c r="M664" s="496"/>
      <c r="N664" s="496"/>
      <c r="O664" s="497"/>
      <c r="P664" s="1"/>
      <c r="T664" s="501" t="s">
        <v>22</v>
      </c>
      <c r="U664" s="502"/>
      <c r="V664" s="502"/>
      <c r="W664" s="502"/>
      <c r="X664" s="139"/>
      <c r="Y664" s="140" t="str">
        <f>IF('Mon Entreprise'!I148="","NC",'Mon Entreprise'!I148)</f>
        <v>NC</v>
      </c>
      <c r="Z664" s="191"/>
      <c r="AA664" s="192"/>
      <c r="AB664" s="143" t="str">
        <f>IFERROR(IF('Mon Entreprise'!I148-'Mon Entreprise'!M138&lt;0,0,'Mon Entreprise'!I148-'Mon Entreprise'!M138),"NC")</f>
        <v>NC</v>
      </c>
      <c r="AC664" s="193"/>
      <c r="AD664" s="139"/>
      <c r="AE664" s="146" t="str">
        <f>IFERROR(1-'Mon Entreprise'!M138/'Mon Entreprise'!I148,"NC")</f>
        <v>NC</v>
      </c>
    </row>
    <row r="665" spans="2:31" ht="15.75" hidden="1" customHeight="1">
      <c r="B665" s="103"/>
      <c r="C665" s="387"/>
      <c r="D665" s="495"/>
      <c r="E665" s="496"/>
      <c r="F665" s="496"/>
      <c r="G665" s="496"/>
      <c r="H665" s="496"/>
      <c r="I665" s="496"/>
      <c r="J665" s="496"/>
      <c r="K665" s="496"/>
      <c r="L665" s="496"/>
      <c r="M665" s="496"/>
      <c r="N665" s="496"/>
      <c r="O665" s="497"/>
      <c r="P665" s="1"/>
      <c r="T665" s="388"/>
      <c r="U665" s="385"/>
      <c r="V665" s="385"/>
      <c r="W665" s="385"/>
      <c r="X665" s="139"/>
      <c r="Y665" s="140"/>
      <c r="Z665" s="141"/>
      <c r="AA665" s="192"/>
      <c r="AB665" s="143"/>
      <c r="AC665" s="385"/>
      <c r="AD665" s="139"/>
      <c r="AE665" s="146"/>
    </row>
    <row r="666" spans="2:31" ht="15.75" hidden="1" customHeight="1">
      <c r="B666" s="103"/>
      <c r="C666" s="387"/>
      <c r="D666" s="495"/>
      <c r="E666" s="496"/>
      <c r="F666" s="496"/>
      <c r="G666" s="496"/>
      <c r="H666" s="496"/>
      <c r="I666" s="496"/>
      <c r="J666" s="496"/>
      <c r="K666" s="496"/>
      <c r="L666" s="496"/>
      <c r="M666" s="496"/>
      <c r="N666" s="496"/>
      <c r="O666" s="497"/>
      <c r="P666" s="1"/>
      <c r="T666" s="14"/>
      <c r="U666" s="1"/>
      <c r="V666" s="1"/>
      <c r="W666" s="1"/>
      <c r="X666" s="1"/>
      <c r="Y666" s="1"/>
      <c r="Z666" s="1"/>
      <c r="AA666" s="1"/>
      <c r="AB666" s="1"/>
      <c r="AC666" s="1"/>
      <c r="AD666" s="1"/>
      <c r="AE666" s="13"/>
    </row>
    <row r="667" spans="2:31" ht="15.75" hidden="1" customHeight="1">
      <c r="B667" s="103"/>
      <c r="C667" s="387"/>
      <c r="D667" s="495"/>
      <c r="E667" s="496"/>
      <c r="F667" s="496"/>
      <c r="G667" s="496"/>
      <c r="H667" s="496"/>
      <c r="I667" s="496"/>
      <c r="J667" s="496"/>
      <c r="K667" s="496"/>
      <c r="L667" s="496"/>
      <c r="M667" s="496"/>
      <c r="N667" s="496"/>
      <c r="O667" s="497"/>
      <c r="P667" s="1"/>
      <c r="T667" s="14"/>
      <c r="AC667" s="1"/>
      <c r="AD667" s="1"/>
      <c r="AE667" s="13"/>
    </row>
    <row r="668" spans="2:31" ht="15.75" hidden="1" customHeight="1" thickBot="1">
      <c r="B668" s="103"/>
      <c r="C668" s="387"/>
      <c r="D668" s="498"/>
      <c r="E668" s="499"/>
      <c r="F668" s="499"/>
      <c r="G668" s="499"/>
      <c r="H668" s="499"/>
      <c r="I668" s="499"/>
      <c r="J668" s="499"/>
      <c r="K668" s="499"/>
      <c r="L668" s="499"/>
      <c r="M668" s="499"/>
      <c r="N668" s="499"/>
      <c r="O668" s="500"/>
      <c r="P668" s="1"/>
      <c r="T668" s="14"/>
      <c r="AC668" s="1"/>
      <c r="AD668" s="1"/>
      <c r="AE668" s="13"/>
    </row>
    <row r="669" spans="2:31" ht="16.5" hidden="1" customHeight="1">
      <c r="B669" s="103"/>
      <c r="C669" s="387"/>
      <c r="D669" s="503" t="s">
        <v>525</v>
      </c>
      <c r="E669" s="503"/>
      <c r="F669" s="503"/>
      <c r="G669" s="503"/>
      <c r="H669" s="503"/>
      <c r="I669" s="503"/>
      <c r="J669" s="503"/>
      <c r="K669" s="503"/>
      <c r="L669" s="503"/>
      <c r="M669" s="503"/>
      <c r="N669" s="503"/>
      <c r="O669" s="503"/>
      <c r="P669" s="1"/>
      <c r="T669" s="14"/>
      <c r="AC669" s="1"/>
      <c r="AD669" s="1"/>
      <c r="AE669" s="13"/>
    </row>
    <row r="670" spans="2:31" ht="16.5" hidden="1" customHeight="1">
      <c r="B670" s="103"/>
      <c r="C670" s="387"/>
      <c r="D670" s="504"/>
      <c r="E670" s="504"/>
      <c r="F670" s="504"/>
      <c r="G670" s="504"/>
      <c r="H670" s="504"/>
      <c r="I670" s="504"/>
      <c r="J670" s="504"/>
      <c r="K670" s="504"/>
      <c r="L670" s="504"/>
      <c r="M670" s="504"/>
      <c r="N670" s="504"/>
      <c r="O670" s="504"/>
      <c r="P670" s="1"/>
      <c r="T670" s="14"/>
      <c r="AC670" s="1"/>
      <c r="AD670" s="1"/>
      <c r="AE670" s="13"/>
    </row>
    <row r="671" spans="2:31" ht="15.75">
      <c r="B671" s="103"/>
      <c r="C671" s="78"/>
      <c r="D671" s="78"/>
      <c r="E671" s="78"/>
      <c r="F671" s="78"/>
      <c r="G671" s="78"/>
      <c r="H671" s="78"/>
      <c r="I671" s="78"/>
      <c r="J671" s="78"/>
      <c r="K671" s="78"/>
      <c r="L671" s="78"/>
      <c r="M671" s="78"/>
      <c r="N671" s="78"/>
      <c r="O671" s="78"/>
      <c r="P671" s="1"/>
      <c r="T671" s="14"/>
      <c r="U671" s="1"/>
      <c r="V671" s="1"/>
      <c r="W671" s="1"/>
      <c r="X671" s="1"/>
      <c r="Y671" s="1"/>
      <c r="Z671" s="1"/>
      <c r="AA671" s="1"/>
      <c r="AB671" s="1"/>
      <c r="AC671" s="1"/>
      <c r="AD671" s="1"/>
      <c r="AE671" s="13"/>
    </row>
    <row r="672" spans="2:31" ht="15.75">
      <c r="B672" s="103"/>
      <c r="C672" s="387"/>
      <c r="D672" s="60"/>
      <c r="E672" s="387"/>
      <c r="F672" s="387"/>
      <c r="G672" s="387"/>
      <c r="H672" s="387"/>
      <c r="I672" s="387"/>
      <c r="J672" s="387"/>
      <c r="K672" s="387"/>
      <c r="L672" s="387"/>
      <c r="M672" s="387"/>
      <c r="N672" s="387"/>
      <c r="O672" s="387"/>
      <c r="P672" s="1"/>
      <c r="T672" s="14"/>
      <c r="U672" s="1"/>
      <c r="V672" s="1"/>
      <c r="W672" s="1"/>
      <c r="X672" s="1"/>
      <c r="Y672" s="1"/>
      <c r="Z672" s="1"/>
      <c r="AA672" s="1"/>
      <c r="AB672" s="1"/>
      <c r="AC672" s="1"/>
      <c r="AD672" s="1"/>
      <c r="AE672" s="13"/>
    </row>
    <row r="673" spans="2:31" ht="15.75">
      <c r="B673" s="103"/>
      <c r="C673" s="505" t="s">
        <v>526</v>
      </c>
      <c r="D673" s="505"/>
      <c r="E673" s="505"/>
      <c r="F673" s="505"/>
      <c r="G673" s="505"/>
      <c r="H673" s="505"/>
      <c r="I673" s="505"/>
      <c r="J673" s="505"/>
      <c r="K673" s="505"/>
      <c r="L673" s="505"/>
      <c r="M673" s="505"/>
      <c r="N673" s="505"/>
      <c r="O673" s="505"/>
      <c r="P673" s="1"/>
      <c r="T673" s="14"/>
      <c r="U673" s="1"/>
      <c r="V673" s="1"/>
      <c r="W673" s="1"/>
      <c r="X673" s="1"/>
      <c r="Y673" s="1"/>
      <c r="Z673" s="1"/>
      <c r="AA673" s="1"/>
      <c r="AB673" s="1"/>
      <c r="AC673" s="1"/>
      <c r="AD673" s="1"/>
      <c r="AE673" s="13"/>
    </row>
    <row r="674" spans="2:31" ht="15.75">
      <c r="B674" s="103"/>
      <c r="C674" s="505"/>
      <c r="D674" s="505"/>
      <c r="E674" s="505"/>
      <c r="F674" s="505"/>
      <c r="G674" s="505"/>
      <c r="H674" s="505"/>
      <c r="I674" s="505"/>
      <c r="J674" s="505"/>
      <c r="K674" s="505"/>
      <c r="L674" s="505"/>
      <c r="M674" s="505"/>
      <c r="N674" s="505"/>
      <c r="O674" s="505"/>
      <c r="P674" s="1"/>
      <c r="T674" s="14"/>
      <c r="U674" s="506" t="s">
        <v>72</v>
      </c>
      <c r="V674" s="506"/>
      <c r="W674" s="506"/>
      <c r="X674" s="506"/>
      <c r="Y674" s="506"/>
      <c r="Z674" s="1"/>
      <c r="AA674" s="14"/>
      <c r="AB674" s="385" t="str">
        <f>IF('Mon Entreprise'!K8&lt;=Annexes!R15,"Oui","Non")</f>
        <v>Oui</v>
      </c>
      <c r="AC674" s="1"/>
      <c r="AD674" s="1"/>
      <c r="AE674" s="13"/>
    </row>
    <row r="675" spans="2:31" ht="15.75">
      <c r="B675" s="168"/>
      <c r="C675" s="387"/>
      <c r="D675" s="60" t="str">
        <f>IFERROR(IF('Mon Entreprise'!K8&gt;=Annexes!O20,IF(AB662&gt;=AB664,"Le CA de référence est celui de Septembre 2019, soit une perte de "&amp;ROUND(AB662,0)&amp;" €"&amp;" ==&gt; "&amp;ROUND(AE662*100,0)&amp;" %","Le CA de référence est celui de la création, soit une perte de "&amp;ROUND(AB664,0)&amp;" €"&amp;" ==&gt; "&amp;ROUND(AE664*100,0)&amp;" %"),IF(AB662&gt;=AB663,"Le CA de référence est celui de Septembre 2019, soit une perte de "&amp;ROUND(AB662,0)&amp;" €"&amp;" ==&gt; "&amp;ROUND(AE662*100,0)&amp;" %","Le CA de référence est celui de l'exercice 2019, soit une perte de "&amp;ROUND(AB663,0)&amp;" €"&amp;" ==&gt; "&amp;ROUND(AE663*100,0)&amp;" %")),"")</f>
        <v>Le CA de référence est celui de Septembre 2019, soit une perte de 0 € ==&gt; 0 %</v>
      </c>
      <c r="E675" s="387"/>
      <c r="F675" s="387"/>
      <c r="G675" s="387"/>
      <c r="H675" s="387"/>
      <c r="I675" s="387"/>
      <c r="J675" s="387"/>
      <c r="K675" s="387"/>
      <c r="L675" s="387"/>
      <c r="M675" s="387"/>
      <c r="N675" s="387"/>
      <c r="O675" s="387"/>
      <c r="P675" s="1"/>
      <c r="T675" s="14"/>
      <c r="U675" s="386"/>
      <c r="V675" s="506" t="s">
        <v>393</v>
      </c>
      <c r="W675" s="506"/>
      <c r="X675" s="506"/>
      <c r="Y675" s="506"/>
      <c r="Z675" s="1"/>
      <c r="AA675" s="14"/>
      <c r="AB675" s="385">
        <f>IF('Mon Entreprise'!K8&gt;=Annexes!O20,IF(Y662&gt;=Y664,Y662,Y664),IF(Y662&gt;=Y663,Y662,Y663))</f>
        <v>0</v>
      </c>
      <c r="AC675" s="1"/>
      <c r="AD675" s="1"/>
      <c r="AE675" s="13"/>
    </row>
    <row r="676" spans="2:31" ht="15.75" customHeight="1">
      <c r="B676" s="168"/>
      <c r="C676" s="387"/>
      <c r="D676" s="507" t="str">
        <f>IFERROR(IF('Mon Entreprise'!K8&gt;=Annexes!O20,"",IF(AB662&lt;AB663,"A noter qu'il convient de choisir l'option retenue par l'entreprise lors de sa demande au titre du mois Février 2021, ou a défaut celui du mois de Mars, d'Avril, Mai, Juin, Juillet, Août 2021, si le CA de référence était celui de février 2019 (...),"&amp;" il convient de prendre"&amp;" celui de Septembre 2019, soit "&amp;ROUND(AB662,0)&amp;" €"&amp;" ==&gt; "&amp;ROUND(AE662*100,0)&amp;" %","A noter qu'il convient de choisir l'option retenue par l'entreprise lors de sa demande au titre du mois Février 2021, ou "&amp;"a défaut celui du mois de Mars, d'Avril, Mai, Juin, Juillet ou Août 2021, si"&amp;" le CA de référence était celui de l'exercice 2019, il convient de prendre celui de l'exercie 2019, soit une perte de "&amp;ROUND(AB663,0)&amp;" €"&amp;" ==&gt; "&amp;ROUND(AE663*100,0)&amp;" %")),"")</f>
        <v>A noter qu'il convient de choisir l'option retenue par l'entreprise lors de sa demande au titre du mois Février 2021, ou a défaut celui du mois de Mars, d'Avril, Mai, Juin, Juillet ou Août 2021, si le CA de référence était celui de l'exercice 2019, il convient de prendre celui de l'exercie 2019, soit une perte de 0 € ==&gt; 0 %</v>
      </c>
      <c r="E676" s="507"/>
      <c r="F676" s="507"/>
      <c r="G676" s="507"/>
      <c r="H676" s="507"/>
      <c r="I676" s="507"/>
      <c r="J676" s="507"/>
      <c r="K676" s="507"/>
      <c r="L676" s="507"/>
      <c r="M676" s="507"/>
      <c r="N676" s="507"/>
      <c r="O676" s="507"/>
      <c r="P676" s="1"/>
      <c r="T676" s="14"/>
      <c r="U676" s="506" t="s">
        <v>84</v>
      </c>
      <c r="V676" s="506"/>
      <c r="W676" s="506"/>
      <c r="X676" s="506"/>
      <c r="Y676" s="506"/>
      <c r="Z676" s="1"/>
      <c r="AA676" s="14"/>
      <c r="AB676" s="381">
        <f>IF('Mon Entreprise'!K8&gt;=Annexes!O20,IF(AB662&gt;=AB664,AB662,AB664),IF(AB662&gt;=AB663,AB662,AB663))</f>
        <v>0</v>
      </c>
      <c r="AC676" s="1"/>
      <c r="AD676" s="1"/>
      <c r="AE676" s="13"/>
    </row>
    <row r="677" spans="2:31" ht="15.75">
      <c r="B677" s="168"/>
      <c r="C677" s="387"/>
      <c r="D677" s="507"/>
      <c r="E677" s="507"/>
      <c r="F677" s="507"/>
      <c r="G677" s="507"/>
      <c r="H677" s="507"/>
      <c r="I677" s="507"/>
      <c r="J677" s="507"/>
      <c r="K677" s="507"/>
      <c r="L677" s="507"/>
      <c r="M677" s="507"/>
      <c r="N677" s="507"/>
      <c r="O677" s="507"/>
      <c r="P677" s="1"/>
      <c r="T677" s="14"/>
      <c r="U677" s="506" t="s">
        <v>85</v>
      </c>
      <c r="V677" s="506"/>
      <c r="W677" s="506"/>
      <c r="X677" s="506"/>
      <c r="Y677" s="506"/>
      <c r="Z677" s="1"/>
      <c r="AA677" s="14"/>
      <c r="AB677" s="19">
        <f>IF('Mon Entreprise'!K8&gt;=Annexes!O20,IF(AB662&gt;=AB664,AE662,AE664),IF(AB662&gt;=AB663,AE662,AE663))</f>
        <v>0</v>
      </c>
      <c r="AC677" s="1"/>
      <c r="AD677" s="1"/>
      <c r="AE677" s="13"/>
    </row>
    <row r="678" spans="2:31" ht="15.75">
      <c r="B678" s="168"/>
      <c r="C678" s="387"/>
      <c r="D678" s="507"/>
      <c r="E678" s="507"/>
      <c r="F678" s="507"/>
      <c r="G678" s="507"/>
      <c r="H678" s="507"/>
      <c r="I678" s="507"/>
      <c r="J678" s="507"/>
      <c r="K678" s="507"/>
      <c r="L678" s="507"/>
      <c r="M678" s="507"/>
      <c r="N678" s="507"/>
      <c r="O678" s="507"/>
      <c r="P678" s="1"/>
      <c r="T678" s="14"/>
      <c r="U678" s="386"/>
      <c r="V678" s="386"/>
      <c r="W678" s="386"/>
      <c r="X678" s="386"/>
      <c r="Y678" s="386"/>
      <c r="Z678" s="1"/>
      <c r="AA678" s="1"/>
      <c r="AB678" s="19"/>
      <c r="AC678" s="1"/>
      <c r="AD678" s="1"/>
      <c r="AE678" s="13"/>
    </row>
    <row r="679" spans="2:31" ht="16.5" thickBot="1">
      <c r="B679" s="103"/>
      <c r="C679" s="387"/>
      <c r="D679" s="60" t="s">
        <v>7</v>
      </c>
      <c r="E679" s="387"/>
      <c r="F679" s="387"/>
      <c r="G679" s="387"/>
      <c r="H679" s="387"/>
      <c r="I679" s="387"/>
      <c r="J679" s="387"/>
      <c r="K679" s="387"/>
      <c r="L679" s="387"/>
      <c r="M679" s="387"/>
      <c r="N679" s="387"/>
      <c r="O679" s="387"/>
      <c r="P679" s="1"/>
      <c r="T679" s="14"/>
      <c r="U679" s="1"/>
      <c r="V679" s="1"/>
      <c r="W679" s="1"/>
      <c r="X679" s="1"/>
      <c r="Y679" s="1"/>
      <c r="Z679" s="1"/>
      <c r="AA679" s="1"/>
      <c r="AB679" s="1"/>
      <c r="AC679" s="1"/>
      <c r="AD679" s="1"/>
      <c r="AE679" s="13"/>
    </row>
    <row r="680" spans="2:31" ht="15.75">
      <c r="B680" s="168"/>
      <c r="C680" s="387"/>
      <c r="D680" s="508" t="str">
        <f>IFERROR(IF(AB674="Non","Vous avez débuté votre activité après le 31 Janvier 2020, vous ne pouvez donc pas bénéficier de cette aide",IF(AND(AB693=TRUE,AB677&gt;=0.5),IF(AB676&gt;Annexes!O5,"Dans votre cas, l'aide est Plafonnée, à "&amp;Annexes!O5&amp;" € pour le mois de Septembre","Vous pouvez bénéficier, au titre de cette aide, d'un montant de "&amp;ROUND(AB676,0)&amp;" € pour le mois de Septembre"),"L'entreprise n'a pas une perte d'au moins 20 % en Septembre 2021 ou n'a pas été en fermeture Administrative au moins 8 Jours")),"Vous n'avez pas indiqué de chiffre d'affaires de référence")</f>
        <v>L'entreprise n'a pas une perte d'au moins 20 % en Septembre 2021 ou n'a pas été en fermeture Administrative au moins 8 Jours</v>
      </c>
      <c r="E680" s="509"/>
      <c r="F680" s="509"/>
      <c r="G680" s="509"/>
      <c r="H680" s="509"/>
      <c r="I680" s="509"/>
      <c r="J680" s="509"/>
      <c r="K680" s="509"/>
      <c r="L680" s="509"/>
      <c r="M680" s="509"/>
      <c r="N680" s="509"/>
      <c r="O680" s="510"/>
      <c r="P680" s="1"/>
      <c r="T680" s="14"/>
      <c r="U680" s="1"/>
      <c r="V680" s="1"/>
      <c r="W680" s="1"/>
      <c r="X680" s="1"/>
      <c r="Y680" s="1"/>
      <c r="Z680" s="1"/>
      <c r="AA680" s="1"/>
      <c r="AB680" s="1"/>
      <c r="AC680" s="1"/>
      <c r="AD680" s="1"/>
      <c r="AE680" s="13"/>
    </row>
    <row r="681" spans="2:31" ht="15.75" customHeight="1">
      <c r="B681" s="168"/>
      <c r="C681" s="387"/>
      <c r="D681" s="511"/>
      <c r="E681" s="512"/>
      <c r="F681" s="512"/>
      <c r="G681" s="512"/>
      <c r="H681" s="512"/>
      <c r="I681" s="512"/>
      <c r="J681" s="512"/>
      <c r="K681" s="512"/>
      <c r="L681" s="512"/>
      <c r="M681" s="512"/>
      <c r="N681" s="512"/>
      <c r="O681" s="513"/>
      <c r="P681" s="1"/>
      <c r="T681" s="14"/>
      <c r="U681" s="1"/>
      <c r="V681" s="1"/>
      <c r="W681" s="1"/>
      <c r="X681" s="1"/>
      <c r="Y681" s="1"/>
      <c r="Z681" s="1"/>
      <c r="AA681" s="1"/>
      <c r="AB681" s="1"/>
      <c r="AC681" s="1"/>
      <c r="AD681" s="1"/>
      <c r="AE681" s="13"/>
    </row>
    <row r="682" spans="2:31" ht="15.75" customHeight="1">
      <c r="B682" s="103"/>
      <c r="C682" s="387"/>
      <c r="D682" s="511"/>
      <c r="E682" s="512"/>
      <c r="F682" s="512"/>
      <c r="G682" s="512"/>
      <c r="H682" s="512"/>
      <c r="I682" s="512"/>
      <c r="J682" s="512"/>
      <c r="K682" s="512"/>
      <c r="L682" s="512"/>
      <c r="M682" s="512"/>
      <c r="N682" s="512"/>
      <c r="O682" s="513"/>
      <c r="P682" s="1"/>
      <c r="T682" s="14"/>
      <c r="U682" s="1"/>
      <c r="V682" s="1"/>
      <c r="W682" s="1"/>
      <c r="X682" s="1"/>
      <c r="Y682" s="1"/>
      <c r="Z682" s="1"/>
      <c r="AA682" s="1"/>
      <c r="AB682" s="1"/>
      <c r="AC682" s="1"/>
      <c r="AD682" s="1"/>
      <c r="AE682" s="13"/>
    </row>
    <row r="683" spans="2:31" ht="15.75" customHeight="1" thickBot="1">
      <c r="B683" s="103"/>
      <c r="C683" s="387"/>
      <c r="D683" s="514"/>
      <c r="E683" s="515"/>
      <c r="F683" s="515"/>
      <c r="G683" s="515"/>
      <c r="H683" s="515"/>
      <c r="I683" s="515"/>
      <c r="J683" s="515"/>
      <c r="K683" s="515"/>
      <c r="L683" s="515"/>
      <c r="M683" s="515"/>
      <c r="N683" s="515"/>
      <c r="O683" s="516"/>
      <c r="P683" s="1"/>
      <c r="T683" s="14"/>
      <c r="U683" s="1"/>
      <c r="V683" s="1"/>
      <c r="W683" s="1"/>
      <c r="X683" s="1"/>
      <c r="Y683" s="1"/>
      <c r="Z683" s="1"/>
      <c r="AA683" s="1"/>
      <c r="AB683" s="1"/>
      <c r="AC683" s="1"/>
      <c r="AD683" s="1"/>
      <c r="AE683" s="13"/>
    </row>
    <row r="684" spans="2:31" ht="16.5" customHeight="1">
      <c r="B684" s="103"/>
      <c r="C684" s="169"/>
      <c r="D684" s="517"/>
      <c r="E684" s="517"/>
      <c r="F684" s="517"/>
      <c r="G684" s="517"/>
      <c r="H684" s="517"/>
      <c r="I684" s="517"/>
      <c r="J684" s="517"/>
      <c r="K684" s="517"/>
      <c r="L684" s="517"/>
      <c r="M684" s="517"/>
      <c r="N684" s="517"/>
      <c r="O684" s="517"/>
      <c r="P684" s="1"/>
      <c r="T684" s="518" t="s">
        <v>4</v>
      </c>
      <c r="U684" s="519"/>
      <c r="V684" s="519"/>
      <c r="W684" s="519"/>
      <c r="X684" s="519"/>
      <c r="Y684" s="519"/>
      <c r="Z684" s="139"/>
      <c r="AA684" s="145"/>
      <c r="AB684" s="194">
        <f>IFERROR(IF('Mon Entreprise'!K8&gt;=Annexes!Q18,0,1-'Mon Entreprise'!M118/2/AB675),0)</f>
        <v>0</v>
      </c>
      <c r="AC684" s="1"/>
      <c r="AD684" s="1"/>
      <c r="AE684" s="13"/>
    </row>
    <row r="685" spans="2:31" ht="16.5" customHeight="1">
      <c r="B685" s="103"/>
      <c r="C685" s="387"/>
      <c r="D685" s="306"/>
      <c r="E685" s="306"/>
      <c r="F685" s="306"/>
      <c r="G685" s="306"/>
      <c r="H685" s="306"/>
      <c r="I685" s="306"/>
      <c r="J685" s="306"/>
      <c r="K685" s="306"/>
      <c r="L685" s="306"/>
      <c r="M685" s="306"/>
      <c r="N685" s="306"/>
      <c r="O685" s="306"/>
      <c r="P685" s="1"/>
      <c r="T685" s="110"/>
      <c r="U685" s="520" t="s">
        <v>102</v>
      </c>
      <c r="V685" s="520"/>
      <c r="W685" s="520"/>
      <c r="X685" s="520"/>
      <c r="Y685" s="520"/>
      <c r="Z685" s="139"/>
      <c r="AA685" s="145"/>
      <c r="AB685" s="194">
        <f>IFERROR(IF('Mon Entreprise'!K8&gt;Annexes!Q29,0,IF('Mon Entreprise'!K8&gt;Annexes!Q26,1,1-'Mon Entreprise'!M114/AB675)),0)</f>
        <v>0</v>
      </c>
      <c r="AC685" s="1"/>
      <c r="AD685" s="1"/>
      <c r="AE685" s="13"/>
    </row>
    <row r="686" spans="2:31" ht="16.5" customHeight="1">
      <c r="B686" s="103"/>
      <c r="C686" s="505" t="s">
        <v>512</v>
      </c>
      <c r="D686" s="505"/>
      <c r="E686" s="505"/>
      <c r="F686" s="505"/>
      <c r="G686" s="505"/>
      <c r="H686" s="505"/>
      <c r="I686" s="505"/>
      <c r="J686" s="505"/>
      <c r="K686" s="505"/>
      <c r="L686" s="505"/>
      <c r="M686" s="505"/>
      <c r="N686" s="505"/>
      <c r="O686" s="505"/>
      <c r="P686" s="1"/>
      <c r="T686" s="110"/>
      <c r="U686" s="520" t="s">
        <v>109</v>
      </c>
      <c r="V686" s="520"/>
      <c r="W686" s="520"/>
      <c r="X686" s="520"/>
      <c r="Y686" s="520"/>
      <c r="Z686" s="139"/>
      <c r="AA686" s="145"/>
      <c r="AB686" s="194">
        <f>IFERROR(IF(Annexes!O27&gt;'Mon Entreprise'!K8,1-'Mon Entreprise'!M98/'Mon Entreprise'!I98,0),0)</f>
        <v>0</v>
      </c>
      <c r="AC686" s="1"/>
      <c r="AD686" s="1"/>
      <c r="AE686" s="13"/>
    </row>
    <row r="687" spans="2:31" ht="16.5" customHeight="1">
      <c r="B687" s="103"/>
      <c r="C687" s="505"/>
      <c r="D687" s="505"/>
      <c r="E687" s="505"/>
      <c r="F687" s="505"/>
      <c r="G687" s="505"/>
      <c r="H687" s="505"/>
      <c r="I687" s="505"/>
      <c r="J687" s="505"/>
      <c r="K687" s="505"/>
      <c r="L687" s="505"/>
      <c r="M687" s="505"/>
      <c r="N687" s="505"/>
      <c r="O687" s="505"/>
      <c r="P687" s="1"/>
      <c r="T687" s="110"/>
      <c r="U687" s="382"/>
      <c r="V687" s="382"/>
      <c r="W687" s="382"/>
      <c r="X687" s="382"/>
      <c r="Y687" s="382"/>
      <c r="Z687" s="139"/>
      <c r="AA687" s="145"/>
      <c r="AB687" s="194"/>
      <c r="AC687" s="1"/>
      <c r="AD687" s="1"/>
      <c r="AE687" s="13"/>
    </row>
    <row r="688" spans="2:31" ht="16.5" customHeight="1">
      <c r="B688" s="103"/>
      <c r="C688" s="505"/>
      <c r="D688" s="505"/>
      <c r="E688" s="505"/>
      <c r="F688" s="505"/>
      <c r="G688" s="505"/>
      <c r="H688" s="505"/>
      <c r="I688" s="505"/>
      <c r="J688" s="505"/>
      <c r="K688" s="505"/>
      <c r="L688" s="505"/>
      <c r="M688" s="505"/>
      <c r="N688" s="505"/>
      <c r="O688" s="505"/>
      <c r="P688" s="1"/>
      <c r="T688" s="110"/>
      <c r="U688" s="382"/>
      <c r="V688" s="382"/>
      <c r="W688" s="382"/>
      <c r="X688" s="382"/>
      <c r="Y688" s="382"/>
      <c r="Z688" s="139"/>
      <c r="AA688" s="145"/>
      <c r="AB688" s="194"/>
      <c r="AC688" s="1"/>
      <c r="AD688" s="1"/>
      <c r="AE688" s="13"/>
    </row>
    <row r="689" spans="1:31" ht="16.5" customHeight="1">
      <c r="B689" s="103"/>
      <c r="C689" s="505"/>
      <c r="D689" s="505"/>
      <c r="E689" s="505"/>
      <c r="F689" s="505"/>
      <c r="G689" s="505"/>
      <c r="H689" s="505"/>
      <c r="I689" s="505"/>
      <c r="J689" s="505"/>
      <c r="K689" s="505"/>
      <c r="L689" s="505"/>
      <c r="M689" s="505"/>
      <c r="N689" s="505"/>
      <c r="O689" s="505"/>
      <c r="P689" s="1"/>
      <c r="T689" s="14"/>
      <c r="U689" s="521" t="s">
        <v>8</v>
      </c>
      <c r="V689" s="521"/>
      <c r="W689" s="521"/>
      <c r="X689" s="521"/>
      <c r="Y689" s="521"/>
      <c r="Z689" s="1"/>
      <c r="AA689" s="14"/>
      <c r="AB689" s="381" t="str">
        <f>IF((AND(Annexes!F5&gt;1,Annexes!F5&lt;=Annexes!H6,AB696&gt;=0.1)),"OUI","NON")</f>
        <v>NON</v>
      </c>
      <c r="AC689" s="1"/>
      <c r="AD689" s="1"/>
      <c r="AE689" s="13"/>
    </row>
    <row r="690" spans="1:31" ht="22.5" customHeight="1">
      <c r="B690" s="103"/>
      <c r="D690" s="564" t="s">
        <v>513</v>
      </c>
      <c r="E690" s="564"/>
      <c r="F690" s="564"/>
      <c r="G690" s="564"/>
      <c r="H690" s="564"/>
      <c r="I690" s="564"/>
      <c r="J690" s="564"/>
      <c r="K690" s="564"/>
      <c r="L690" s="564"/>
      <c r="M690" s="564"/>
      <c r="N690" s="564"/>
      <c r="O690" s="564"/>
      <c r="P690" s="1"/>
      <c r="T690" s="14"/>
      <c r="U690" s="383"/>
      <c r="V690" s="383"/>
      <c r="W690" s="383"/>
      <c r="X690" s="383"/>
      <c r="Y690" s="383" t="s">
        <v>9</v>
      </c>
      <c r="Z690" s="1"/>
      <c r="AA690" s="14"/>
      <c r="AB690" s="381" t="str">
        <f>IF(AND(Annexes!F7&gt;1,Annexes!F7&lt;=Annexes!H8,AB696&gt;=0.1),"OUI","NON")</f>
        <v>NON</v>
      </c>
      <c r="AC690" s="1"/>
      <c r="AD690" s="1"/>
      <c r="AE690" s="13"/>
    </row>
    <row r="691" spans="1:31" ht="16.5" customHeight="1">
      <c r="B691" s="103"/>
      <c r="C691" s="387"/>
      <c r="D691" s="306"/>
      <c r="E691" s="522" t="str">
        <f>IF(AB694="NON","",IF(OR(AB689="OUI",AB691="OUI",AND(AB690="OUI",OR(AB684&gt;=Annexes!P5,AB685&gt;=Annexes!P5,'Mes Aides'!AB145&gt;=0.1))),"",IF(AND(AB690="OUI",OR(AB684&lt;Annexes!P5,AB685&lt;Annexes!P5,'Mes Aides'!AB198&lt;0.1)),"L'entreprise fait partie des entreprises mentionnées en annexe 2 du décret mais n'a pas eu une perte de CA d'au-Moins 80 %, entre le 15/03/2020 et le 15/05/2020 ou Novembre 2020 ou 10 % entre 2019 et 2020","L'entreprise ne fait pas partie des activités mentionnées aux annexes 1, 2 ou domicilé dans une des îles d'outre-mer.")))</f>
        <v>L'entreprise ne fait pas partie des activités mentionnées aux annexes 1, 2 ou domicilé dans une des îles d'outre-mer.</v>
      </c>
      <c r="F691" s="522"/>
      <c r="G691" s="522"/>
      <c r="H691" s="522"/>
      <c r="I691" s="522"/>
      <c r="J691" s="522"/>
      <c r="K691" s="522"/>
      <c r="L691" s="522"/>
      <c r="M691" s="522"/>
      <c r="N691" s="522"/>
      <c r="O691" s="522"/>
      <c r="P691" s="1"/>
      <c r="T691" s="491" t="s">
        <v>474</v>
      </c>
      <c r="U691" s="490"/>
      <c r="V691" s="490"/>
      <c r="W691" s="490"/>
      <c r="X691" s="490"/>
      <c r="Y691" s="490"/>
      <c r="Z691" s="1"/>
      <c r="AA691" s="14"/>
      <c r="AB691" s="381" t="str">
        <f>IF(AND(Annexes!M24=TRUE,AB696&lt;0.85),"OUI","NON")</f>
        <v>NON</v>
      </c>
      <c r="AC691" s="1"/>
      <c r="AD691" s="1"/>
      <c r="AE691" s="13"/>
    </row>
    <row r="692" spans="1:31" ht="16.5" customHeight="1">
      <c r="B692" s="103"/>
      <c r="C692" s="387"/>
      <c r="D692" s="306"/>
      <c r="E692" s="522"/>
      <c r="F692" s="522"/>
      <c r="G692" s="522"/>
      <c r="H692" s="522"/>
      <c r="I692" s="522"/>
      <c r="J692" s="522"/>
      <c r="K692" s="522"/>
      <c r="L692" s="522"/>
      <c r="M692" s="522"/>
      <c r="N692" s="522"/>
      <c r="O692" s="522"/>
      <c r="P692" s="1"/>
      <c r="T692" s="491" t="s">
        <v>509</v>
      </c>
      <c r="U692" s="490"/>
      <c r="V692" s="490"/>
      <c r="W692" s="490"/>
      <c r="X692" s="490"/>
      <c r="Y692" s="490"/>
      <c r="Z692" s="1"/>
      <c r="AA692" s="14"/>
      <c r="AB692" s="381" t="b">
        <f>IF(OR(AND(Annexes!M41=TRUE,AB696&gt;=0.2),AND(Annexes!M42=TRUE,AB696&gt;=0.5)),TRUE,FALSE)</f>
        <v>0</v>
      </c>
      <c r="AC692" s="1"/>
      <c r="AD692" s="1"/>
      <c r="AE692" s="13"/>
    </row>
    <row r="693" spans="1:31" ht="16.5" customHeight="1">
      <c r="A693" s="99"/>
      <c r="B693" s="103"/>
      <c r="C693" s="387"/>
      <c r="D693" s="523" t="str">
        <f>IFERROR(IF('Mon Entreprise'!K8&gt;=Annexes!O20,IF(AB662&gt;=AB664,"- Le CA de référence est celui de Septembre 2019, soit une perte de "&amp;ROUND(AB662,0)&amp;" €"&amp;" ==&gt; "&amp;ROUND(AE662*100,0)&amp;" %","- Le CA de référence est celui de la création, soit une perte de "&amp;ROUND(AB664,0)&amp;" €"&amp;" ==&gt; "&amp;ROUND(AE664*100,0)&amp;" %"),IF(AB662&gt;=AB663,"- Le CA de référence est celui de Septembre 2019, soit une perte de "&amp;ROUND(AB662,0)&amp;" €"&amp;" ==&gt; "&amp;ROUND(AE662*100,0)&amp;" %","- Le CA de référence est celui de l'exercice 2019, soit une perte de "&amp;ROUND(AB663,0)&amp;" €"&amp;" ==&gt; "&amp;ROUND(AE663*100,0)&amp;" %")),"")</f>
        <v>- Le CA de référence est celui de Septembre 2019, soit une perte de 0 € ==&gt; 0 %</v>
      </c>
      <c r="E693" s="523"/>
      <c r="F693" s="523"/>
      <c r="G693" s="523"/>
      <c r="H693" s="523"/>
      <c r="I693" s="523"/>
      <c r="J693" s="523"/>
      <c r="K693" s="523"/>
      <c r="L693" s="523"/>
      <c r="M693" s="523"/>
      <c r="N693" s="523"/>
      <c r="O693" s="523"/>
      <c r="P693" s="1"/>
      <c r="T693" s="14"/>
      <c r="U693" s="381"/>
      <c r="V693" s="381"/>
      <c r="W693" s="381"/>
      <c r="X693" s="381"/>
      <c r="Y693" s="381" t="s">
        <v>505</v>
      </c>
      <c r="Z693" s="1"/>
      <c r="AA693" s="14"/>
      <c r="AB693" s="381" t="b">
        <f>IF(AND(Annexes!M43=TRUE,AB696&gt;=0.2),TRUE,FALSE)</f>
        <v>0</v>
      </c>
      <c r="AC693" s="1"/>
      <c r="AD693" s="1"/>
      <c r="AE693" s="13"/>
    </row>
    <row r="694" spans="1:31" ht="16.5" customHeight="1">
      <c r="A694" s="99"/>
      <c r="B694" s="103"/>
      <c r="C694" s="387"/>
      <c r="D694" s="524" t="str">
        <f>IFERROR(IF('Mon Entreprise'!K8&gt;=Annexes!O20,"",IF(AB662&lt;AB663,"A noter qu'il convient de choisir l'option retenue par l'entreprise lors de sa demande au titre du mois Février ou a défaut celui du mois de Mars, Avril, Mai, Juin, Juillet, ou Août 2021, si le CA de référence était celui de février (...) 2019,"&amp;" il convient de prendre celui de Septembre 2019, soit "&amp;ROUND(AB662,0)&amp;" €"&amp;" ==&gt; "&amp;ROUND(AE662*100,0)&amp;" %","A noter qu'il convient de choisir l'option retenue par l'entreprise lors de sa demande"&amp;" au titre du mois Février  ou a défaut celui du mois de Mars, Avril, Mai, Juin, Juillet ou Août 2021, si le CA de référence était celui de l'exercice 2019, il convient de prendre celui de l'exercie 2019, soit une perte de "&amp;ROUND(AB663,0)&amp;" €"&amp;" ==&gt; "&amp;ROUND(AE663*100,0)&amp;" %")),"")</f>
        <v>A noter qu'il convient de choisir l'option retenue par l'entreprise lors de sa demande au titre du mois Février  ou a défaut celui du mois de Mars, Avril, Mai, Juin, Juillet ou Août 2021, si le CA de référence était celui de l'exercice 2019, il convient de prendre celui de l'exercie 2019, soit une perte de 0 € ==&gt; 0 %</v>
      </c>
      <c r="E694" s="524"/>
      <c r="F694" s="524"/>
      <c r="G694" s="524"/>
      <c r="H694" s="524"/>
      <c r="I694" s="524"/>
      <c r="J694" s="524"/>
      <c r="K694" s="524"/>
      <c r="L694" s="524"/>
      <c r="M694" s="524"/>
      <c r="N694" s="524"/>
      <c r="O694" s="524"/>
      <c r="P694" s="1"/>
      <c r="T694" s="14"/>
      <c r="U694" s="525" t="s">
        <v>72</v>
      </c>
      <c r="V694" s="525"/>
      <c r="W694" s="525"/>
      <c r="X694" s="525"/>
      <c r="Y694" s="525"/>
      <c r="Z694" s="139"/>
      <c r="AA694" s="145"/>
      <c r="AB694" s="385" t="str">
        <f>IF(AB674="Oui","Oui","Non")</f>
        <v>Oui</v>
      </c>
      <c r="AC694" s="139"/>
      <c r="AD694" s="1"/>
      <c r="AE694" s="13"/>
    </row>
    <row r="695" spans="1:31" ht="16.5" customHeight="1">
      <c r="A695" s="99"/>
      <c r="B695" s="103"/>
      <c r="C695" s="387"/>
      <c r="D695" s="524"/>
      <c r="E695" s="524"/>
      <c r="F695" s="524"/>
      <c r="G695" s="524"/>
      <c r="H695" s="524"/>
      <c r="I695" s="524"/>
      <c r="J695" s="524"/>
      <c r="K695" s="524"/>
      <c r="L695" s="524"/>
      <c r="M695" s="524"/>
      <c r="N695" s="524"/>
      <c r="O695" s="524"/>
      <c r="P695" s="1"/>
      <c r="T695" s="14"/>
      <c r="U695" s="525" t="s">
        <v>84</v>
      </c>
      <c r="V695" s="525"/>
      <c r="W695" s="525"/>
      <c r="X695" s="525"/>
      <c r="Y695" s="525"/>
      <c r="Z695" s="139"/>
      <c r="AA695" s="145"/>
      <c r="AB695" s="385">
        <f>IF('Mon Entreprise'!K8&gt;=Annexes!O20,IF(AB662&gt;=AB664,AB662,AB664),IF(AB662&gt;=AB663,AB662,AB663))</f>
        <v>0</v>
      </c>
      <c r="AC695" s="139"/>
      <c r="AD695" s="1"/>
      <c r="AE695" s="13"/>
    </row>
    <row r="696" spans="1:31" ht="16.5" customHeight="1">
      <c r="B696" s="103"/>
      <c r="C696" s="387"/>
      <c r="D696" s="215"/>
      <c r="E696" s="377"/>
      <c r="F696" s="377"/>
      <c r="G696" s="377"/>
      <c r="H696" s="377"/>
      <c r="I696" s="377"/>
      <c r="J696" s="377"/>
      <c r="K696" s="377"/>
      <c r="L696" s="377"/>
      <c r="M696" s="377"/>
      <c r="N696" s="377"/>
      <c r="O696" s="377"/>
      <c r="P696" s="1"/>
      <c r="T696" s="14"/>
      <c r="U696" s="525" t="s">
        <v>85</v>
      </c>
      <c r="V696" s="525"/>
      <c r="W696" s="525"/>
      <c r="X696" s="525"/>
      <c r="Y696" s="525"/>
      <c r="Z696" s="139"/>
      <c r="AA696" s="145"/>
      <c r="AB696" s="385">
        <f>IF('Mon Entreprise'!K8&gt;=Annexes!O20,IF(AB662&gt;=AB664,AE662,AE664),IF(AB662&gt;=AB663,AE662,AE663))</f>
        <v>0</v>
      </c>
      <c r="AC696" s="139"/>
      <c r="AD696" s="1"/>
      <c r="AE696" s="13"/>
    </row>
    <row r="697" spans="1:31" ht="16.5" customHeight="1" thickBot="1">
      <c r="B697" s="103"/>
      <c r="C697" s="387"/>
      <c r="D697" s="377"/>
      <c r="E697" s="377"/>
      <c r="F697" s="377"/>
      <c r="G697" s="377"/>
      <c r="H697" s="377"/>
      <c r="I697" s="377"/>
      <c r="J697" s="377"/>
      <c r="K697" s="377"/>
      <c r="L697" s="377"/>
      <c r="M697" s="377"/>
      <c r="N697" s="377"/>
      <c r="O697" s="377"/>
      <c r="P697" s="1"/>
      <c r="T697" s="14"/>
      <c r="U697" s="502" t="s">
        <v>74</v>
      </c>
      <c r="V697" s="502"/>
      <c r="W697" s="502"/>
      <c r="X697" s="502"/>
      <c r="Y697" s="502"/>
      <c r="Z697" s="139"/>
      <c r="AA697" s="145"/>
      <c r="AB697" s="385">
        <v>1</v>
      </c>
      <c r="AC697" s="139"/>
      <c r="AD697" s="1"/>
      <c r="AE697" s="13"/>
    </row>
    <row r="698" spans="1:31" ht="16.5" customHeight="1">
      <c r="B698" s="103"/>
      <c r="C698" s="387"/>
      <c r="D698" s="527" t="str">
        <f>IFERROR(IF(AB694="NON","Vous avez débuté votre activité après le 31 Janvier 2020, vous ne pouvez donc pas bénéficier de cette aide",IF(OR(AB689="OUI",AB691="OUI",AND(AB690="OUI",OR(AB684&lt;Annexes!P5,AB685&lt;Annexes!P5,'Mes Aides'!AB198&lt;0.1))),IF(AND(0.2*AB699&gt;Annexes!O8,0.2*AB698&gt;Annexes!O8),"Dans votre cas, l'aide est plafonnée, à "&amp;Annexes!O8&amp;" € pour le mois de Septembre",IF(0.2*AB699&gt;=0.2*AB698,"Dans votre cas, 20 % de la perte est supérieur à 20 % du CA, l'aide est donc plafonnée à 20 % du CA, soit "&amp;ROUND(0.2*AB698,0)&amp;" € pour le mois de Septembre","Dans votre cas, 20% de la perte est inférieure à 20 % du CA, l'aide est donc plafonnée à 20 % de la perte, soit "&amp;ROUND(0.2*AB699,0)&amp;" € pour le mois de Septembre")),"Vous ne faites pas partie des entreprises ayant leur activité mentionnée en annexe 1, ou en annexe 2, avec une perte de CA "&amp;"d'au moins 80 % entre le 15/03/2020 et le 15/05/2020 ou au mois de Novembre 2020 ou une perte de 10 % entre 2019 et 2020, ou domicilié dans les îles d'outre-mer")),"Vous n'avez pas indiqué de chiffre d'affaires de référence")</f>
        <v>Vous ne faites pas partie des entreprises ayant leur activité mentionnée en annexe 1, ou en annexe 2, avec une perte de CA d'au moins 80 % entre le 15/03/2020 et le 15/05/2020 ou au mois de Novembre 2020 ou une perte de 10 % entre 2019 et 2020, ou domicilié dans les îles d'outre-mer</v>
      </c>
      <c r="E698" s="509"/>
      <c r="F698" s="509"/>
      <c r="G698" s="509"/>
      <c r="H698" s="509"/>
      <c r="I698" s="509"/>
      <c r="J698" s="509"/>
      <c r="K698" s="509"/>
      <c r="L698" s="509"/>
      <c r="M698" s="509"/>
      <c r="N698" s="509"/>
      <c r="O698" s="510"/>
      <c r="P698" s="1"/>
      <c r="T698" s="14"/>
      <c r="U698" s="502" t="s">
        <v>80</v>
      </c>
      <c r="V698" s="502"/>
      <c r="W698" s="502"/>
      <c r="X698" s="502"/>
      <c r="Y698" s="502"/>
      <c r="Z698" s="139"/>
      <c r="AA698" s="145"/>
      <c r="AB698" s="385">
        <f>IF('Mon Entreprise'!K8&gt;=Annexes!O20,IF(AB662&gt;=AB664,Y662,Y664),IF(AB662&gt;=AB663,Y662,Y663))</f>
        <v>0</v>
      </c>
      <c r="AC698" s="139"/>
      <c r="AD698" s="1"/>
      <c r="AE698" s="13"/>
    </row>
    <row r="699" spans="1:31" ht="16.5" customHeight="1">
      <c r="B699" s="173"/>
      <c r="C699" s="387"/>
      <c r="D699" s="511"/>
      <c r="E699" s="512"/>
      <c r="F699" s="512"/>
      <c r="G699" s="512"/>
      <c r="H699" s="512"/>
      <c r="I699" s="512"/>
      <c r="J699" s="512"/>
      <c r="K699" s="512"/>
      <c r="L699" s="512"/>
      <c r="M699" s="512"/>
      <c r="N699" s="512"/>
      <c r="O699" s="513"/>
      <c r="P699" s="1"/>
      <c r="T699" s="14"/>
      <c r="U699" s="490" t="s">
        <v>104</v>
      </c>
      <c r="V699" s="490"/>
      <c r="W699" s="490"/>
      <c r="X699" s="490"/>
      <c r="Y699" s="490"/>
      <c r="Z699" s="1"/>
      <c r="AA699" s="14"/>
      <c r="AB699" s="381">
        <f>IF(AB697=1,AB695,IF(AB695*AB697&gt;1500,IF(AB695&gt;1500,AB695*AB697,"Impossible"),IF(AB695&lt;1500,AB695,1500)))</f>
        <v>0</v>
      </c>
      <c r="AC699" s="1"/>
      <c r="AD699" s="1"/>
      <c r="AE699" s="13"/>
    </row>
    <row r="700" spans="1:31" ht="16.5" customHeight="1">
      <c r="B700" s="103"/>
      <c r="C700" s="387"/>
      <c r="D700" s="511"/>
      <c r="E700" s="512"/>
      <c r="F700" s="512"/>
      <c r="G700" s="512"/>
      <c r="H700" s="512"/>
      <c r="I700" s="512"/>
      <c r="J700" s="512"/>
      <c r="K700" s="512"/>
      <c r="L700" s="512"/>
      <c r="M700" s="512"/>
      <c r="N700" s="512"/>
      <c r="O700" s="513"/>
      <c r="P700" s="1"/>
      <c r="T700" s="14"/>
      <c r="U700" s="381"/>
      <c r="V700" s="381"/>
      <c r="W700" s="381"/>
      <c r="X700" s="381"/>
      <c r="Y700" s="381"/>
      <c r="Z700" s="1"/>
      <c r="AA700" s="1"/>
      <c r="AB700" s="1"/>
      <c r="AC700" s="1"/>
      <c r="AD700" s="1"/>
      <c r="AE700" s="13"/>
    </row>
    <row r="701" spans="1:31" ht="16.5" customHeight="1" thickBot="1">
      <c r="B701" s="103"/>
      <c r="C701" s="387"/>
      <c r="D701" s="514"/>
      <c r="E701" s="515"/>
      <c r="F701" s="515"/>
      <c r="G701" s="515"/>
      <c r="H701" s="515"/>
      <c r="I701" s="515"/>
      <c r="J701" s="515"/>
      <c r="K701" s="515"/>
      <c r="L701" s="515"/>
      <c r="M701" s="515"/>
      <c r="N701" s="515"/>
      <c r="O701" s="516"/>
      <c r="P701" s="1"/>
      <c r="T701" s="14"/>
      <c r="U701" s="490"/>
      <c r="V701" s="490"/>
      <c r="W701" s="490"/>
      <c r="X701" s="490"/>
      <c r="Y701" s="490"/>
      <c r="Z701" s="1"/>
      <c r="AA701" s="1"/>
      <c r="AB701" s="1"/>
      <c r="AC701" s="1"/>
      <c r="AD701" s="1"/>
      <c r="AE701" s="13"/>
    </row>
    <row r="702" spans="1:31" ht="16.5" customHeight="1">
      <c r="B702" s="103"/>
      <c r="C702" s="387"/>
      <c r="D702" s="565" t="s">
        <v>528</v>
      </c>
      <c r="E702" s="565"/>
      <c r="F702" s="565"/>
      <c r="G702" s="565"/>
      <c r="H702" s="565"/>
      <c r="I702" s="565"/>
      <c r="J702" s="565"/>
      <c r="K702" s="565"/>
      <c r="L702" s="565"/>
      <c r="M702" s="565"/>
      <c r="N702" s="565"/>
      <c r="O702" s="565"/>
      <c r="P702" s="1"/>
      <c r="T702" s="14"/>
      <c r="U702" s="381"/>
      <c r="V702" s="381"/>
      <c r="W702" s="381"/>
      <c r="X702" s="381"/>
      <c r="Y702" s="381"/>
      <c r="Z702" s="1"/>
      <c r="AA702" s="1"/>
      <c r="AB702" s="1"/>
      <c r="AC702" s="1"/>
      <c r="AD702" s="1"/>
      <c r="AE702" s="13"/>
    </row>
    <row r="703" spans="1:31" ht="16.5" customHeight="1">
      <c r="B703" s="103"/>
      <c r="C703" s="169"/>
      <c r="D703" s="174"/>
      <c r="E703" s="174"/>
      <c r="F703" s="174"/>
      <c r="G703" s="174"/>
      <c r="H703" s="174"/>
      <c r="I703" s="174"/>
      <c r="J703" s="174"/>
      <c r="K703" s="174"/>
      <c r="L703" s="174"/>
      <c r="M703" s="174"/>
      <c r="N703" s="174"/>
      <c r="O703" s="174"/>
      <c r="P703" s="1"/>
      <c r="T703" s="14"/>
      <c r="U703" s="381"/>
      <c r="V703" s="381"/>
      <c r="W703" s="381"/>
      <c r="X703" s="381"/>
      <c r="Y703" s="381"/>
      <c r="Z703" s="1"/>
      <c r="AA703" s="1"/>
      <c r="AB703" s="1"/>
      <c r="AC703" s="1"/>
      <c r="AD703" s="1"/>
      <c r="AE703" s="13"/>
    </row>
    <row r="704" spans="1:31" ht="16.5" customHeight="1">
      <c r="B704" s="103"/>
      <c r="C704" s="387"/>
      <c r="D704" s="377"/>
      <c r="E704" s="377"/>
      <c r="F704" s="377"/>
      <c r="G704" s="377"/>
      <c r="H704" s="377"/>
      <c r="I704" s="377"/>
      <c r="J704" s="377"/>
      <c r="K704" s="377"/>
      <c r="L704" s="377"/>
      <c r="M704" s="377"/>
      <c r="N704" s="377"/>
      <c r="O704" s="377"/>
      <c r="P704" s="1"/>
      <c r="T704" s="14"/>
      <c r="U704" s="1"/>
      <c r="V704" s="1"/>
      <c r="W704" s="1"/>
      <c r="X704" s="1"/>
      <c r="Y704" s="1"/>
      <c r="Z704" s="1"/>
      <c r="AA704" s="1"/>
      <c r="AB704" s="1"/>
      <c r="AC704" s="1"/>
      <c r="AD704" s="1"/>
      <c r="AE704" s="13"/>
    </row>
    <row r="705" spans="2:31" ht="16.5" customHeight="1">
      <c r="B705" s="103"/>
      <c r="C705" s="529" t="s">
        <v>511</v>
      </c>
      <c r="D705" s="529"/>
      <c r="E705" s="529"/>
      <c r="F705" s="529"/>
      <c r="G705" s="529"/>
      <c r="H705" s="529"/>
      <c r="I705" s="529"/>
      <c r="J705" s="529"/>
      <c r="K705" s="529"/>
      <c r="L705" s="529"/>
      <c r="M705" s="529"/>
      <c r="N705" s="529"/>
      <c r="O705" s="529"/>
      <c r="P705" s="1"/>
      <c r="T705" s="14"/>
      <c r="U705" s="1"/>
      <c r="V705" s="1"/>
      <c r="W705" s="1"/>
      <c r="X705" s="1"/>
      <c r="Y705" s="1"/>
      <c r="Z705" s="1"/>
      <c r="AA705" s="1"/>
      <c r="AB705" s="1"/>
      <c r="AC705" s="1"/>
      <c r="AD705" s="1"/>
      <c r="AE705" s="13"/>
    </row>
    <row r="706" spans="2:31" ht="16.5" customHeight="1">
      <c r="B706" s="103"/>
      <c r="C706" s="529"/>
      <c r="D706" s="529"/>
      <c r="E706" s="529"/>
      <c r="F706" s="529"/>
      <c r="G706" s="529"/>
      <c r="H706" s="529"/>
      <c r="I706" s="529"/>
      <c r="J706" s="529"/>
      <c r="K706" s="529"/>
      <c r="L706" s="529"/>
      <c r="M706" s="529"/>
      <c r="N706" s="529"/>
      <c r="O706" s="529"/>
      <c r="P706" s="1"/>
      <c r="T706" s="14"/>
      <c r="U706" s="1"/>
      <c r="V706" s="1"/>
      <c r="W706" s="1"/>
      <c r="X706" s="1"/>
      <c r="Y706" s="1"/>
      <c r="Z706" s="1"/>
      <c r="AA706" s="1"/>
      <c r="AB706" s="1"/>
      <c r="AC706" s="1"/>
      <c r="AD706" s="1"/>
      <c r="AE706" s="13"/>
    </row>
    <row r="707" spans="2:31" ht="16.5" customHeight="1">
      <c r="B707" s="173"/>
      <c r="C707" s="387"/>
      <c r="D707" s="306"/>
      <c r="E707" s="528" t="str">
        <f>IF(AB694="NON","",IF(AB692=TRUE,"","L'entreprise n'a pas été en fermeture Administrative avec 20 % de perte de CA ou fermeture Administrative de 21 jours avec 50 % de perte  de CA"))</f>
        <v>L'entreprise n'a pas été en fermeture Administrative avec 20 % de perte de CA ou fermeture Administrative de 21 jours avec 50 % de perte  de CA</v>
      </c>
      <c r="F707" s="528"/>
      <c r="G707" s="528"/>
      <c r="H707" s="528"/>
      <c r="I707" s="528"/>
      <c r="J707" s="528"/>
      <c r="K707" s="528"/>
      <c r="L707" s="528"/>
      <c r="M707" s="528"/>
      <c r="N707" s="528"/>
      <c r="O707" s="528"/>
      <c r="P707" s="1"/>
      <c r="T707" s="14"/>
      <c r="U707" s="502" t="s">
        <v>82</v>
      </c>
      <c r="V707" s="502"/>
      <c r="W707" s="502"/>
      <c r="X707" s="502"/>
      <c r="Y707" s="502"/>
      <c r="Z707" s="68"/>
      <c r="AA707" s="1"/>
      <c r="AB707" s="1">
        <f>IFERROR(IF(AB674="Non",0,IF(AND(AB693=TRUE,AB677&gt;=0.5),IF(AB676&gt;Annexes!O5,Annexes!O5,ROUND(AB676,0)),0)),0)</f>
        <v>0</v>
      </c>
      <c r="AC707" s="1"/>
      <c r="AD707" s="1"/>
      <c r="AE707" s="13"/>
    </row>
    <row r="708" spans="2:31" ht="16.5" customHeight="1">
      <c r="B708" s="173"/>
      <c r="C708" s="387"/>
      <c r="D708" s="306"/>
      <c r="E708" s="528"/>
      <c r="F708" s="528"/>
      <c r="G708" s="528"/>
      <c r="H708" s="528"/>
      <c r="I708" s="528"/>
      <c r="J708" s="528"/>
      <c r="K708" s="528"/>
      <c r="L708" s="528"/>
      <c r="M708" s="528"/>
      <c r="N708" s="528"/>
      <c r="O708" s="528"/>
      <c r="P708" s="1"/>
      <c r="T708" s="14"/>
      <c r="U708" s="502" t="s">
        <v>478</v>
      </c>
      <c r="V708" s="502"/>
      <c r="W708" s="502"/>
      <c r="X708" s="502"/>
      <c r="Y708" s="502"/>
      <c r="Z708" s="68"/>
      <c r="AA708" s="1"/>
      <c r="AB708" s="1">
        <f>IFERROR(IF(AB694="NON",0,IF(OR(AB689="OUI",AB691="OUI",AND(AB690="OUI",OR(AB684&lt;Annexes!P5,AB685&lt;Annexes!P5,'Mes Aides'!AB198&lt;0.1))),IF(AND(0.2*AB699,0.2*AB698)&lt;Annexes!O8,Annexes!O8,IF(0.2*AB699&gt;=0.2*AB698,ROUND(0.2*AB698,0),ROUND(0.2*AB699,0))),0)),0)</f>
        <v>0</v>
      </c>
      <c r="AC708" s="1"/>
      <c r="AD708" s="1"/>
      <c r="AE708" s="13"/>
    </row>
    <row r="709" spans="2:31" ht="15" customHeight="1">
      <c r="B709" s="173"/>
      <c r="C709" s="387"/>
      <c r="D709" s="306"/>
      <c r="E709" s="353"/>
      <c r="F709" s="353"/>
      <c r="G709" s="353"/>
      <c r="H709" s="353"/>
      <c r="I709" s="353"/>
      <c r="J709" s="353"/>
      <c r="K709" s="353"/>
      <c r="L709" s="353"/>
      <c r="M709" s="353"/>
      <c r="N709" s="353"/>
      <c r="O709" s="353"/>
      <c r="P709" s="1"/>
      <c r="T709" s="14"/>
      <c r="U709" s="502" t="s">
        <v>478</v>
      </c>
      <c r="V709" s="502"/>
      <c r="W709" s="502"/>
      <c r="X709" s="502"/>
      <c r="Y709" s="502"/>
      <c r="Z709" s="68"/>
      <c r="AA709" s="1"/>
      <c r="AB709" s="1">
        <f>IFERROR(IF(AB694="NON",0,IF(AB692=TRUE,IF(AB698*0.2&gt;Annexes!O8,Annexes!O8,ROUND(AB698*0.2,0)),0)),0)</f>
        <v>0</v>
      </c>
      <c r="AC709" s="1"/>
      <c r="AD709" s="1"/>
      <c r="AE709" s="13"/>
    </row>
    <row r="710" spans="2:31" ht="15" customHeight="1">
      <c r="B710" s="173"/>
      <c r="C710" s="387"/>
      <c r="D710" s="417" t="str">
        <f>IFERROR(IF('Mon Entreprise'!K8&gt;=Annexes!O20,IF(AB662&gt;=AB664,"- Le CA de référence est celui de Septembre 2019, soit une perte de "&amp;ROUND(AB662,0)&amp;" €"&amp;" ==&gt; "&amp;ROUND(AE662*100,0)&amp;" %","- Le CA de référence est celui de la création, soit une perte de "&amp;ROUND(AB664,0)&amp;" €"&amp;" ==&gt; "&amp;ROUND(AE664*100,0)&amp;" %"),IF(AB662&gt;=AB663,"- Le CA de référence est celui de Septembre 2019, soit une perte de "&amp;ROUND(AB662,0)&amp;" €"&amp;" ==&gt; "&amp;ROUND(AE662*100,0)&amp;" %","- Le CA de référence est celui de l'exercice 2019, soit une perte de "&amp;ROUND(AB663,0)&amp;" €"&amp;" ==&gt; "&amp;ROUND(AE663*100,0)&amp;" %")),"")</f>
        <v>- Le CA de référence est celui de Septembre 2019, soit une perte de 0 € ==&gt; 0 %</v>
      </c>
      <c r="E710" s="417"/>
      <c r="F710" s="417"/>
      <c r="G710" s="417"/>
      <c r="H710" s="417"/>
      <c r="I710" s="417"/>
      <c r="J710" s="417"/>
      <c r="K710" s="417"/>
      <c r="L710" s="417"/>
      <c r="M710" s="417"/>
      <c r="N710" s="417"/>
      <c r="O710" s="417"/>
      <c r="P710" s="377"/>
      <c r="Q710" s="377"/>
      <c r="T710" s="14"/>
      <c r="U710" s="1"/>
      <c r="V710" s="1"/>
      <c r="W710" s="1"/>
      <c r="X710" s="1"/>
      <c r="Y710" s="1"/>
      <c r="Z710" s="1"/>
      <c r="AA710" s="1"/>
      <c r="AB710" s="1"/>
      <c r="AC710" s="1"/>
      <c r="AD710" s="1"/>
      <c r="AE710" s="13"/>
    </row>
    <row r="711" spans="2:31" ht="16.5" customHeight="1">
      <c r="B711" s="173"/>
      <c r="C711" s="387"/>
      <c r="D711" s="524" t="str">
        <f>IFERROR(IF('Mon Entreprise'!K8&gt;=Annexes!O20,"",IF(AB662&lt;AB663,"A noter qu'il convient de choisir l'option retenue par l'entreprise lors de"&amp;" sa demande au titre du mois Février ou a défaut celui du mois de Mars, Avril, Mai, Juin, Juillet ou d'Août 2021, si le CA de référence était celui de février (...) 2019, il convient"&amp;" de prendre celui de Septembre 2019 (...), soit "&amp;ROUND(AB662,0)&amp;" €"&amp;" ==&gt; "&amp;ROUND(AE662*100,0)&amp;" %","A noter qu'il convient de choisir l'option"&amp;" retenue par l'entreprise lors de sa demande au titre du mois Février "&amp;"ou a défaut celui du mois de Mars, d'Avril, Mai, Juin, Juillet ou Août 2021, si le CA de référence était celui de l'exercice 2019, il convient de prendre"&amp;" celui de l'exercie 2019, soit une perte de "&amp;ROUND(AB663,0)&amp;" €"&amp;" ==&gt; "&amp;ROUND(AE663*100,0)&amp;" %")),"")</f>
        <v>A noter qu'il convient de choisir l'option retenue par l'entreprise lors de sa demande au titre du mois Février ou a défaut celui du mois de Mars, d'Avril, Mai, Juin, Juillet ou Août 2021, si le CA de référence était celui de l'exercice 2019, il convient de prendre celui de l'exercie 2019, soit une perte de 0 € ==&gt; 0 %</v>
      </c>
      <c r="E711" s="524"/>
      <c r="F711" s="524"/>
      <c r="G711" s="524"/>
      <c r="H711" s="524"/>
      <c r="I711" s="524"/>
      <c r="J711" s="524"/>
      <c r="K711" s="524"/>
      <c r="L711" s="524"/>
      <c r="M711" s="524"/>
      <c r="N711" s="524"/>
      <c r="O711" s="524"/>
      <c r="P711" s="377"/>
      <c r="Q711" s="377"/>
      <c r="T711" s="14"/>
      <c r="U711" s="1"/>
      <c r="V711" s="1"/>
      <c r="W711" s="1"/>
      <c r="X711" s="1"/>
      <c r="Y711" s="1"/>
      <c r="Z711" s="1"/>
      <c r="AA711" s="1"/>
      <c r="AB711" s="1"/>
      <c r="AC711" s="1"/>
      <c r="AD711" s="1"/>
      <c r="AE711" s="13"/>
    </row>
    <row r="712" spans="2:31" ht="16.5" customHeight="1">
      <c r="B712" s="173"/>
      <c r="C712" s="387"/>
      <c r="D712" s="524"/>
      <c r="E712" s="524"/>
      <c r="F712" s="524"/>
      <c r="G712" s="524"/>
      <c r="H712" s="524"/>
      <c r="I712" s="524"/>
      <c r="J712" s="524"/>
      <c r="K712" s="524"/>
      <c r="L712" s="524"/>
      <c r="M712" s="524"/>
      <c r="N712" s="524"/>
      <c r="O712" s="524"/>
      <c r="P712" s="377"/>
      <c r="Q712" s="377"/>
      <c r="T712" s="14"/>
      <c r="U712" s="1"/>
      <c r="V712" s="1"/>
      <c r="W712" s="1"/>
      <c r="X712" s="1"/>
      <c r="Y712" s="1"/>
      <c r="Z712" s="1"/>
      <c r="AA712" s="1"/>
      <c r="AB712" s="1"/>
      <c r="AC712" s="1"/>
      <c r="AD712" s="1"/>
      <c r="AE712" s="13"/>
    </row>
    <row r="713" spans="2:31" ht="16.5" customHeight="1" thickBot="1">
      <c r="B713" s="168"/>
      <c r="C713" s="387"/>
      <c r="D713" s="205"/>
      <c r="E713" s="377"/>
      <c r="F713" s="377"/>
      <c r="G713" s="377"/>
      <c r="H713" s="377"/>
      <c r="I713" s="377"/>
      <c r="J713" s="377"/>
      <c r="K713" s="377"/>
      <c r="L713" s="377"/>
      <c r="M713" s="377"/>
      <c r="N713" s="377"/>
      <c r="O713" s="377"/>
      <c r="P713" s="377"/>
      <c r="Q713" s="377"/>
      <c r="T713" s="14"/>
      <c r="U713" s="1"/>
      <c r="V713" s="1"/>
      <c r="W713" s="1"/>
      <c r="X713" s="1"/>
      <c r="Y713" s="1"/>
      <c r="Z713" s="1"/>
      <c r="AA713" s="1"/>
      <c r="AB713" s="1"/>
      <c r="AC713" s="1"/>
      <c r="AD713" s="1"/>
      <c r="AE713" s="13"/>
    </row>
    <row r="714" spans="2:31" ht="16.5" customHeight="1">
      <c r="B714" s="103"/>
      <c r="C714" s="180"/>
      <c r="D714" s="526" t="str">
        <f>IFERROR(IF(AB694="NON","Vous avez débuté votre activité après le 31 Janvier 2020, vous ne pouvez donc pas bénéficier de cette aide",IF(AB692=TRUE,IF(AB698*0.2&gt;Annexes!O8,"Dans votre cas, l'aide est plafonnée, à "&amp;Annexes!O8&amp;" € pour le mois de Septembre","Dans votre cas, l'aide est plafonnée à 20 % du CA, soit "&amp;ROUND(AB698*0.2,0)&amp;" € pour le mois de Septembre"),"Vous ne faites pas partie des entreprises en fermeture Administrative avec 20 % de perte de CA ou fermeture Administrative avec 20 % de perte de CA ou en fermeture Administrative de 21 jours avec 50 % de perte de CA")),"Vous n'avez pas indiqué de chiffre d'affaires de référence")</f>
        <v>Vous ne faites pas partie des entreprises en fermeture Administrative avec 20 % de perte de CA ou fermeture Administrative avec 20 % de perte de CA ou en fermeture Administrative de 21 jours avec 50 % de perte de CA</v>
      </c>
      <c r="E714" s="509"/>
      <c r="F714" s="509"/>
      <c r="G714" s="509"/>
      <c r="H714" s="509"/>
      <c r="I714" s="509"/>
      <c r="J714" s="509"/>
      <c r="K714" s="509"/>
      <c r="L714" s="509"/>
      <c r="M714" s="509"/>
      <c r="N714" s="509"/>
      <c r="O714" s="510"/>
      <c r="P714" s="377"/>
      <c r="Q714" s="377"/>
      <c r="T714" s="14"/>
      <c r="U714" s="1"/>
      <c r="V714" s="1"/>
      <c r="W714" s="1"/>
      <c r="X714" s="1"/>
      <c r="Y714" s="1"/>
      <c r="Z714" s="1"/>
      <c r="AA714" s="1"/>
      <c r="AB714" s="1"/>
      <c r="AC714" s="1"/>
      <c r="AD714" s="1"/>
      <c r="AE714" s="13"/>
    </row>
    <row r="715" spans="2:31" ht="16.5" customHeight="1">
      <c r="B715" s="103"/>
      <c r="C715" s="180"/>
      <c r="D715" s="511"/>
      <c r="E715" s="512"/>
      <c r="F715" s="512"/>
      <c r="G715" s="512"/>
      <c r="H715" s="512"/>
      <c r="I715" s="512"/>
      <c r="J715" s="512"/>
      <c r="K715" s="512"/>
      <c r="L715" s="512"/>
      <c r="M715" s="512"/>
      <c r="N715" s="512"/>
      <c r="O715" s="513"/>
      <c r="P715" s="377"/>
      <c r="Q715" s="377"/>
      <c r="T715" s="14"/>
      <c r="U715" s="1"/>
      <c r="V715" s="1"/>
      <c r="W715" s="1"/>
      <c r="X715" s="1"/>
      <c r="Y715" s="1"/>
      <c r="Z715" s="1"/>
      <c r="AA715" s="1"/>
      <c r="AB715" s="1"/>
      <c r="AC715" s="1"/>
      <c r="AD715" s="1"/>
      <c r="AE715" s="13"/>
    </row>
    <row r="716" spans="2:31" ht="16.5" customHeight="1">
      <c r="B716" s="103"/>
      <c r="C716" s="180"/>
      <c r="D716" s="511"/>
      <c r="E716" s="512"/>
      <c r="F716" s="512"/>
      <c r="G716" s="512"/>
      <c r="H716" s="512"/>
      <c r="I716" s="512"/>
      <c r="J716" s="512"/>
      <c r="K716" s="512"/>
      <c r="L716" s="512"/>
      <c r="M716" s="512"/>
      <c r="N716" s="512"/>
      <c r="O716" s="513"/>
      <c r="P716" s="175"/>
      <c r="Q716" s="175"/>
      <c r="T716" s="14"/>
      <c r="U716" s="1"/>
      <c r="V716" s="1"/>
      <c r="W716" s="1"/>
      <c r="X716" s="1"/>
      <c r="Y716" s="1"/>
      <c r="Z716" s="1"/>
      <c r="AA716" s="1"/>
      <c r="AB716" s="1"/>
      <c r="AC716" s="1"/>
      <c r="AD716" s="1"/>
      <c r="AE716" s="13"/>
    </row>
    <row r="717" spans="2:31" ht="16.5" customHeight="1" thickBot="1">
      <c r="B717" s="103"/>
      <c r="C717" s="180"/>
      <c r="D717" s="514"/>
      <c r="E717" s="515"/>
      <c r="F717" s="515"/>
      <c r="G717" s="515"/>
      <c r="H717" s="515"/>
      <c r="I717" s="515"/>
      <c r="J717" s="515"/>
      <c r="K717" s="515"/>
      <c r="L717" s="515"/>
      <c r="M717" s="515"/>
      <c r="N717" s="515"/>
      <c r="O717" s="516"/>
      <c r="T717" s="14"/>
      <c r="U717" s="1"/>
      <c r="V717" s="1"/>
      <c r="W717" s="1"/>
      <c r="X717" s="1"/>
      <c r="Y717" s="1"/>
      <c r="Z717" s="1"/>
      <c r="AA717" s="1"/>
      <c r="AB717" s="1"/>
      <c r="AC717" s="1"/>
      <c r="AD717" s="1"/>
      <c r="AE717" s="13"/>
    </row>
    <row r="718" spans="2:31" ht="16.5" customHeight="1">
      <c r="B718" s="5"/>
      <c r="C718" s="5"/>
      <c r="D718" s="354"/>
      <c r="E718" s="354"/>
      <c r="F718" s="354"/>
      <c r="G718" s="354"/>
      <c r="H718" s="354"/>
      <c r="I718" s="354"/>
      <c r="J718" s="354"/>
      <c r="K718" s="354"/>
      <c r="L718" s="354"/>
      <c r="M718" s="354"/>
      <c r="N718" s="354"/>
      <c r="O718" s="354"/>
      <c r="P718" s="177"/>
      <c r="Q718" s="177"/>
      <c r="T718" s="14"/>
      <c r="U718" s="1"/>
      <c r="V718" s="1"/>
      <c r="W718" s="1"/>
      <c r="X718" s="1"/>
      <c r="Y718" s="1"/>
      <c r="Z718" s="1"/>
      <c r="AA718" s="1"/>
      <c r="AB718" s="1"/>
      <c r="AC718" s="1"/>
      <c r="AD718" s="1"/>
      <c r="AE718" s="13"/>
    </row>
    <row r="719" spans="2:31" ht="16.5" customHeight="1">
      <c r="B719" s="5"/>
      <c r="C719" s="5"/>
      <c r="D719" s="355"/>
      <c r="E719" s="355"/>
      <c r="F719" s="355"/>
      <c r="G719" s="355"/>
      <c r="H719" s="355"/>
      <c r="I719" s="355"/>
      <c r="J719" s="355"/>
      <c r="K719" s="355"/>
      <c r="L719" s="355"/>
      <c r="M719" s="355"/>
      <c r="N719" s="355"/>
      <c r="O719" s="355"/>
      <c r="P719" s="177"/>
      <c r="Q719" s="177"/>
      <c r="T719" s="14"/>
      <c r="U719" s="1"/>
      <c r="V719" s="1"/>
      <c r="W719" s="1"/>
      <c r="X719" s="1"/>
      <c r="Y719" s="1"/>
      <c r="Z719" s="1"/>
      <c r="AA719" s="1"/>
      <c r="AB719" s="1"/>
      <c r="AC719" s="1"/>
      <c r="AD719" s="1"/>
      <c r="AE719" s="13"/>
    </row>
    <row r="720" spans="2:31">
      <c r="D720" s="177"/>
      <c r="E720" s="177"/>
      <c r="F720" s="177"/>
      <c r="G720" s="177"/>
      <c r="H720" s="177"/>
      <c r="I720" s="177"/>
      <c r="J720" s="177"/>
      <c r="K720" s="177"/>
      <c r="L720" s="177"/>
      <c r="M720" s="177"/>
      <c r="N720" s="177"/>
      <c r="O720" s="177"/>
      <c r="P720" s="175"/>
      <c r="Q720" s="175"/>
      <c r="T720" s="14"/>
      <c r="U720" s="1"/>
      <c r="V720" s="1"/>
      <c r="W720" s="1"/>
      <c r="X720" s="1"/>
      <c r="Y720" s="1"/>
      <c r="Z720" s="1"/>
      <c r="AA720" s="1"/>
      <c r="AB720" s="1"/>
      <c r="AC720" s="1"/>
      <c r="AD720" s="1"/>
      <c r="AE720" s="13"/>
    </row>
    <row r="721" spans="4:31" ht="15" customHeight="1"/>
    <row r="722" spans="4:31">
      <c r="D722" s="380" t="s">
        <v>69</v>
      </c>
    </row>
    <row r="723" spans="4:31">
      <c r="D723" s="177"/>
      <c r="E723" s="177"/>
      <c r="F723" s="177"/>
      <c r="G723" s="177"/>
      <c r="H723" s="177"/>
      <c r="I723" s="177"/>
      <c r="J723" s="177"/>
      <c r="K723" s="177"/>
      <c r="L723" s="177"/>
      <c r="M723" s="177"/>
      <c r="N723" s="177"/>
      <c r="O723" s="177"/>
      <c r="P723" s="175"/>
      <c r="Q723" s="175"/>
      <c r="T723" s="14"/>
      <c r="U723" s="1"/>
      <c r="V723" s="1"/>
      <c r="W723" s="1"/>
      <c r="X723" s="1"/>
      <c r="Y723" s="1"/>
      <c r="Z723" s="1"/>
      <c r="AA723" s="1"/>
      <c r="AB723" s="1"/>
      <c r="AC723" s="1"/>
      <c r="AD723" s="1"/>
      <c r="AE723" s="13"/>
    </row>
    <row r="724" spans="4:31" ht="15" customHeight="1"/>
    <row r="725" spans="4:31">
      <c r="D725" s="380"/>
    </row>
  </sheetData>
  <sheetProtection password="C6BD" sheet="1" selectLockedCells="1" selectUnlockedCells="1"/>
  <mergeCells count="499">
    <mergeCell ref="U709:Y709"/>
    <mergeCell ref="D710:O710"/>
    <mergeCell ref="D711:O712"/>
    <mergeCell ref="D714:O717"/>
    <mergeCell ref="U697:Y697"/>
    <mergeCell ref="D698:O701"/>
    <mergeCell ref="U698:Y698"/>
    <mergeCell ref="U699:Y699"/>
    <mergeCell ref="U701:Y701"/>
    <mergeCell ref="D702:O702"/>
    <mergeCell ref="C705:O706"/>
    <mergeCell ref="E707:O708"/>
    <mergeCell ref="U707:Y707"/>
    <mergeCell ref="U708:Y708"/>
    <mergeCell ref="D690:O690"/>
    <mergeCell ref="E691:O692"/>
    <mergeCell ref="T691:Y691"/>
    <mergeCell ref="T692:Y692"/>
    <mergeCell ref="D693:O693"/>
    <mergeCell ref="D694:O695"/>
    <mergeCell ref="U694:Y694"/>
    <mergeCell ref="U695:Y695"/>
    <mergeCell ref="U696:Y696"/>
    <mergeCell ref="V675:Y675"/>
    <mergeCell ref="D676:O678"/>
    <mergeCell ref="U676:Y676"/>
    <mergeCell ref="U677:Y677"/>
    <mergeCell ref="D680:O683"/>
    <mergeCell ref="D684:O684"/>
    <mergeCell ref="T684:Y684"/>
    <mergeCell ref="U685:Y685"/>
    <mergeCell ref="C686:O689"/>
    <mergeCell ref="U686:Y686"/>
    <mergeCell ref="U689:Y689"/>
    <mergeCell ref="C658:H658"/>
    <mergeCell ref="C660:O660"/>
    <mergeCell ref="U660:W660"/>
    <mergeCell ref="T662:W662"/>
    <mergeCell ref="D663:O668"/>
    <mergeCell ref="T663:W663"/>
    <mergeCell ref="T664:W664"/>
    <mergeCell ref="D669:O670"/>
    <mergeCell ref="C673:O674"/>
    <mergeCell ref="U674:Y674"/>
    <mergeCell ref="D640:O640"/>
    <mergeCell ref="C643:O644"/>
    <mergeCell ref="E645:O646"/>
    <mergeCell ref="U645:Y645"/>
    <mergeCell ref="U646:Y646"/>
    <mergeCell ref="U647:Y647"/>
    <mergeCell ref="D648:O648"/>
    <mergeCell ref="D649:O650"/>
    <mergeCell ref="D652:O655"/>
    <mergeCell ref="D632:O633"/>
    <mergeCell ref="U632:Y632"/>
    <mergeCell ref="U633:Y633"/>
    <mergeCell ref="U634:Y634"/>
    <mergeCell ref="U635:Y635"/>
    <mergeCell ref="D636:O639"/>
    <mergeCell ref="U636:Y636"/>
    <mergeCell ref="U637:Y637"/>
    <mergeCell ref="U639:Y639"/>
    <mergeCell ref="U623:Y623"/>
    <mergeCell ref="C624:O627"/>
    <mergeCell ref="U624:Y624"/>
    <mergeCell ref="U627:Y627"/>
    <mergeCell ref="D628:O628"/>
    <mergeCell ref="E629:O630"/>
    <mergeCell ref="T629:Y629"/>
    <mergeCell ref="T630:Y630"/>
    <mergeCell ref="D631:O631"/>
    <mergeCell ref="D607:O608"/>
    <mergeCell ref="C611:O612"/>
    <mergeCell ref="U612:Y612"/>
    <mergeCell ref="V613:Y613"/>
    <mergeCell ref="D614:O616"/>
    <mergeCell ref="U614:Y614"/>
    <mergeCell ref="U615:Y615"/>
    <mergeCell ref="D618:O621"/>
    <mergeCell ref="D622:O622"/>
    <mergeCell ref="T622:Y622"/>
    <mergeCell ref="U585:Y585"/>
    <mergeCell ref="D586:O586"/>
    <mergeCell ref="D587:O588"/>
    <mergeCell ref="D590:O593"/>
    <mergeCell ref="C596:H596"/>
    <mergeCell ref="C598:O598"/>
    <mergeCell ref="U598:W598"/>
    <mergeCell ref="T600:W600"/>
    <mergeCell ref="D601:O606"/>
    <mergeCell ref="T601:W601"/>
    <mergeCell ref="T602:W602"/>
    <mergeCell ref="U575:Y575"/>
    <mergeCell ref="D576:O579"/>
    <mergeCell ref="U576:Y576"/>
    <mergeCell ref="U577:Y577"/>
    <mergeCell ref="U579:Y579"/>
    <mergeCell ref="C582:O582"/>
    <mergeCell ref="E583:O584"/>
    <mergeCell ref="U583:Y583"/>
    <mergeCell ref="U584:Y584"/>
    <mergeCell ref="D568:O568"/>
    <mergeCell ref="E569:O570"/>
    <mergeCell ref="T569:Y569"/>
    <mergeCell ref="U570:Y570"/>
    <mergeCell ref="D571:O571"/>
    <mergeCell ref="D572:O573"/>
    <mergeCell ref="U572:Y572"/>
    <mergeCell ref="U573:Y573"/>
    <mergeCell ref="U574:Y574"/>
    <mergeCell ref="V553:Y553"/>
    <mergeCell ref="D554:O556"/>
    <mergeCell ref="U554:Y554"/>
    <mergeCell ref="U555:Y555"/>
    <mergeCell ref="D558:O561"/>
    <mergeCell ref="D562:O562"/>
    <mergeCell ref="T562:Y562"/>
    <mergeCell ref="U563:Y563"/>
    <mergeCell ref="C564:O567"/>
    <mergeCell ref="U564:Y564"/>
    <mergeCell ref="U567:Y567"/>
    <mergeCell ref="C536:H536"/>
    <mergeCell ref="C538:O538"/>
    <mergeCell ref="U538:W538"/>
    <mergeCell ref="T540:W540"/>
    <mergeCell ref="D541:O546"/>
    <mergeCell ref="T541:W541"/>
    <mergeCell ref="T542:W542"/>
    <mergeCell ref="D547:O548"/>
    <mergeCell ref="C551:O552"/>
    <mergeCell ref="U552:Y552"/>
    <mergeCell ref="U214:Y214"/>
    <mergeCell ref="U215:Y215"/>
    <mergeCell ref="U216:Y216"/>
    <mergeCell ref="C214:O216"/>
    <mergeCell ref="E217:O218"/>
    <mergeCell ref="U207:Y207"/>
    <mergeCell ref="U208:Y208"/>
    <mergeCell ref="C200:O202"/>
    <mergeCell ref="T201:Y201"/>
    <mergeCell ref="U202:Y202"/>
    <mergeCell ref="E203:O204"/>
    <mergeCell ref="U203:Y203"/>
    <mergeCell ref="U204:Y204"/>
    <mergeCell ref="D205:O205"/>
    <mergeCell ref="U205:Y205"/>
    <mergeCell ref="U206:Y206"/>
    <mergeCell ref="D208:O211"/>
    <mergeCell ref="U210:Y210"/>
    <mergeCell ref="U198:Y198"/>
    <mergeCell ref="U199:Y199"/>
    <mergeCell ref="D183:O187"/>
    <mergeCell ref="U187:Y187"/>
    <mergeCell ref="V188:Y188"/>
    <mergeCell ref="U189:Y189"/>
    <mergeCell ref="U190:Y190"/>
    <mergeCell ref="D194:O197"/>
    <mergeCell ref="T196:Y196"/>
    <mergeCell ref="U197:Y197"/>
    <mergeCell ref="T24:W24"/>
    <mergeCell ref="T25:W25"/>
    <mergeCell ref="T26:W26"/>
    <mergeCell ref="F3:O6"/>
    <mergeCell ref="B8:O8"/>
    <mergeCell ref="B9:O10"/>
    <mergeCell ref="B11:O11"/>
    <mergeCell ref="B13:O13"/>
    <mergeCell ref="D29:O33"/>
    <mergeCell ref="U29:Y29"/>
    <mergeCell ref="U30:Y30"/>
    <mergeCell ref="U31:Y31"/>
    <mergeCell ref="U32:Y32"/>
    <mergeCell ref="T13:AE20"/>
    <mergeCell ref="B16:O17"/>
    <mergeCell ref="C20:H20"/>
    <mergeCell ref="C23:I23"/>
    <mergeCell ref="U23:W23"/>
    <mergeCell ref="T77:W77"/>
    <mergeCell ref="T78:W78"/>
    <mergeCell ref="T79:W79"/>
    <mergeCell ref="U54:Y54"/>
    <mergeCell ref="C37:H37"/>
    <mergeCell ref="U40:W40"/>
    <mergeCell ref="D42:O46"/>
    <mergeCell ref="T42:W42"/>
    <mergeCell ref="T43:W43"/>
    <mergeCell ref="T44:W44"/>
    <mergeCell ref="T46:Y46"/>
    <mergeCell ref="U51:Y51"/>
    <mergeCell ref="U49:Y49"/>
    <mergeCell ref="U50:Y50"/>
    <mergeCell ref="U47:Y47"/>
    <mergeCell ref="U55:Y55"/>
    <mergeCell ref="U48:Y48"/>
    <mergeCell ref="C49:O50"/>
    <mergeCell ref="D52:O53"/>
    <mergeCell ref="U52:Y52"/>
    <mergeCell ref="U53:Y53"/>
    <mergeCell ref="D56:O59"/>
    <mergeCell ref="U60:Y60"/>
    <mergeCell ref="U61:Y61"/>
    <mergeCell ref="U62:Y62"/>
    <mergeCell ref="U56:Y56"/>
    <mergeCell ref="C62:O63"/>
    <mergeCell ref="D64:O65"/>
    <mergeCell ref="D69:O72"/>
    <mergeCell ref="U76:W76"/>
    <mergeCell ref="E110:O111"/>
    <mergeCell ref="U110:Y110"/>
    <mergeCell ref="U111:Y111"/>
    <mergeCell ref="D80:O83"/>
    <mergeCell ref="U82:Y82"/>
    <mergeCell ref="U83:Y83"/>
    <mergeCell ref="U84:Y84"/>
    <mergeCell ref="U85:Y85"/>
    <mergeCell ref="C87:H87"/>
    <mergeCell ref="C89:O89"/>
    <mergeCell ref="D92:O96"/>
    <mergeCell ref="U92:W92"/>
    <mergeCell ref="T94:W94"/>
    <mergeCell ref="T95:W95"/>
    <mergeCell ref="T96:W96"/>
    <mergeCell ref="U99:Y99"/>
    <mergeCell ref="U100:Y100"/>
    <mergeCell ref="U101:Y101"/>
    <mergeCell ref="U134:Y134"/>
    <mergeCell ref="V135:Y135"/>
    <mergeCell ref="U136:Y136"/>
    <mergeCell ref="U137:Y137"/>
    <mergeCell ref="D138:O141"/>
    <mergeCell ref="T143:Y143"/>
    <mergeCell ref="C144:O146"/>
    <mergeCell ref="U144:Y144"/>
    <mergeCell ref="U145:Y145"/>
    <mergeCell ref="U146:Y146"/>
    <mergeCell ref="D167:O170"/>
    <mergeCell ref="D171:O171"/>
    <mergeCell ref="B174:O175"/>
    <mergeCell ref="U177:W177"/>
    <mergeCell ref="C178:H178"/>
    <mergeCell ref="T179:W179"/>
    <mergeCell ref="C180:O180"/>
    <mergeCell ref="T180:W180"/>
    <mergeCell ref="T181:W181"/>
    <mergeCell ref="D102:O105"/>
    <mergeCell ref="T106:Y106"/>
    <mergeCell ref="U107:Y107"/>
    <mergeCell ref="C108:O109"/>
    <mergeCell ref="U109:Y109"/>
    <mergeCell ref="U104:Y104"/>
    <mergeCell ref="U108:Y108"/>
    <mergeCell ref="U112:Y112"/>
    <mergeCell ref="D115:O118"/>
    <mergeCell ref="U113:Y113"/>
    <mergeCell ref="U114:Y114"/>
    <mergeCell ref="C122:H122"/>
    <mergeCell ref="C124:O124"/>
    <mergeCell ref="U124:W124"/>
    <mergeCell ref="T126:W126"/>
    <mergeCell ref="D127:O131"/>
    <mergeCell ref="T127:W127"/>
    <mergeCell ref="T128:W128"/>
    <mergeCell ref="U115:Y115"/>
    <mergeCell ref="U118:Y118"/>
    <mergeCell ref="U117:Y117"/>
    <mergeCell ref="D119:O120"/>
    <mergeCell ref="U148:Y148"/>
    <mergeCell ref="D149:O149"/>
    <mergeCell ref="D152:O155"/>
    <mergeCell ref="C158:O160"/>
    <mergeCell ref="U160:Y160"/>
    <mergeCell ref="E161:O162"/>
    <mergeCell ref="U162:Y162"/>
    <mergeCell ref="D163:O163"/>
    <mergeCell ref="D164:O165"/>
    <mergeCell ref="U161:Y161"/>
    <mergeCell ref="U154:Y154"/>
    <mergeCell ref="U156:Y156"/>
    <mergeCell ref="U149:Y149"/>
    <mergeCell ref="U150:Y150"/>
    <mergeCell ref="U151:Y151"/>
    <mergeCell ref="U152:Y152"/>
    <mergeCell ref="U153:Y153"/>
    <mergeCell ref="E147:O148"/>
    <mergeCell ref="U147:Y147"/>
    <mergeCell ref="D219:O219"/>
    <mergeCell ref="D220:O221"/>
    <mergeCell ref="D223:O226"/>
    <mergeCell ref="C230:H230"/>
    <mergeCell ref="U231:W231"/>
    <mergeCell ref="C232:O232"/>
    <mergeCell ref="T233:W233"/>
    <mergeCell ref="T234:W234"/>
    <mergeCell ref="D235:O239"/>
    <mergeCell ref="T235:W235"/>
    <mergeCell ref="U241:Y241"/>
    <mergeCell ref="V242:Y242"/>
    <mergeCell ref="U243:Y243"/>
    <mergeCell ref="U244:Y244"/>
    <mergeCell ref="D246:O249"/>
    <mergeCell ref="D250:O250"/>
    <mergeCell ref="T250:Y250"/>
    <mergeCell ref="U252:Y252"/>
    <mergeCell ref="U251:Y251"/>
    <mergeCell ref="C252:O255"/>
    <mergeCell ref="U254:Y254"/>
    <mergeCell ref="C268:O271"/>
    <mergeCell ref="U271:Y271"/>
    <mergeCell ref="E272:O274"/>
    <mergeCell ref="D275:O275"/>
    <mergeCell ref="D276:O277"/>
    <mergeCell ref="D279:O282"/>
    <mergeCell ref="U258:Y258"/>
    <mergeCell ref="U259:Y259"/>
    <mergeCell ref="U260:Y260"/>
    <mergeCell ref="U261:Y261"/>
    <mergeCell ref="U262:Y262"/>
    <mergeCell ref="U263:Y263"/>
    <mergeCell ref="U264:Y264"/>
    <mergeCell ref="E256:O258"/>
    <mergeCell ref="T256:Y256"/>
    <mergeCell ref="U257:Y257"/>
    <mergeCell ref="D259:O259"/>
    <mergeCell ref="D262:O265"/>
    <mergeCell ref="U266:Y266"/>
    <mergeCell ref="U272:Y272"/>
    <mergeCell ref="U273:Y273"/>
    <mergeCell ref="C286:H286"/>
    <mergeCell ref="C288:O288"/>
    <mergeCell ref="U288:W288"/>
    <mergeCell ref="T290:W290"/>
    <mergeCell ref="D291:O296"/>
    <mergeCell ref="U301:Y301"/>
    <mergeCell ref="V302:Y302"/>
    <mergeCell ref="D303:O304"/>
    <mergeCell ref="U303:Y303"/>
    <mergeCell ref="U304:Y304"/>
    <mergeCell ref="T291:W291"/>
    <mergeCell ref="T292:W292"/>
    <mergeCell ref="D319:O319"/>
    <mergeCell ref="D320:O321"/>
    <mergeCell ref="U320:Y320"/>
    <mergeCell ref="D324:O327"/>
    <mergeCell ref="U327:Y327"/>
    <mergeCell ref="D306:O309"/>
    <mergeCell ref="D310:O310"/>
    <mergeCell ref="T310:Y310"/>
    <mergeCell ref="U311:Y311"/>
    <mergeCell ref="C312:O315"/>
    <mergeCell ref="U314:Y314"/>
    <mergeCell ref="E316:O318"/>
    <mergeCell ref="T316:Y316"/>
    <mergeCell ref="U317:Y317"/>
    <mergeCell ref="U324:Y324"/>
    <mergeCell ref="U325:Y325"/>
    <mergeCell ref="U318:Y318"/>
    <mergeCell ref="U321:Y321"/>
    <mergeCell ref="U322:Y322"/>
    <mergeCell ref="U323:Y323"/>
    <mergeCell ref="U312:Y312"/>
    <mergeCell ref="C330:O333"/>
    <mergeCell ref="E334:O336"/>
    <mergeCell ref="U334:Y334"/>
    <mergeCell ref="D337:O337"/>
    <mergeCell ref="D338:O339"/>
    <mergeCell ref="D340:O341"/>
    <mergeCell ref="D343:O346"/>
    <mergeCell ref="C350:H350"/>
    <mergeCell ref="C352:O352"/>
    <mergeCell ref="U352:W352"/>
    <mergeCell ref="D347:O348"/>
    <mergeCell ref="U335:Y335"/>
    <mergeCell ref="U336:Y336"/>
    <mergeCell ref="T354:W354"/>
    <mergeCell ref="D355:O360"/>
    <mergeCell ref="T355:W355"/>
    <mergeCell ref="T356:W356"/>
    <mergeCell ref="U365:Y365"/>
    <mergeCell ref="V366:Y366"/>
    <mergeCell ref="D367:O368"/>
    <mergeCell ref="U367:Y367"/>
    <mergeCell ref="U368:Y368"/>
    <mergeCell ref="D370:O373"/>
    <mergeCell ref="D374:O374"/>
    <mergeCell ref="T374:Y374"/>
    <mergeCell ref="U375:Y375"/>
    <mergeCell ref="C376:O379"/>
    <mergeCell ref="U376:Y376"/>
    <mergeCell ref="U378:Y378"/>
    <mergeCell ref="E380:O382"/>
    <mergeCell ref="T380:Y380"/>
    <mergeCell ref="U381:Y381"/>
    <mergeCell ref="U382:Y382"/>
    <mergeCell ref="D383:O383"/>
    <mergeCell ref="D384:O385"/>
    <mergeCell ref="U384:Y384"/>
    <mergeCell ref="U385:Y385"/>
    <mergeCell ref="D401:O401"/>
    <mergeCell ref="D402:O403"/>
    <mergeCell ref="D404:O405"/>
    <mergeCell ref="D407:O410"/>
    <mergeCell ref="U386:Y386"/>
    <mergeCell ref="U387:Y387"/>
    <mergeCell ref="D388:O391"/>
    <mergeCell ref="U388:Y388"/>
    <mergeCell ref="U389:Y389"/>
    <mergeCell ref="U391:Y391"/>
    <mergeCell ref="C394:O397"/>
    <mergeCell ref="E398:O400"/>
    <mergeCell ref="U398:Y398"/>
    <mergeCell ref="U399:Y399"/>
    <mergeCell ref="U400:Y400"/>
    <mergeCell ref="D411:O412"/>
    <mergeCell ref="C414:H414"/>
    <mergeCell ref="C416:O416"/>
    <mergeCell ref="U416:W416"/>
    <mergeCell ref="T418:W418"/>
    <mergeCell ref="D419:O424"/>
    <mergeCell ref="T419:W419"/>
    <mergeCell ref="T420:W420"/>
    <mergeCell ref="U429:Y429"/>
    <mergeCell ref="V430:Y430"/>
    <mergeCell ref="D431:O432"/>
    <mergeCell ref="U431:Y431"/>
    <mergeCell ref="U432:Y432"/>
    <mergeCell ref="D434:O437"/>
    <mergeCell ref="D438:O438"/>
    <mergeCell ref="T438:Y438"/>
    <mergeCell ref="U439:Y439"/>
    <mergeCell ref="C440:O443"/>
    <mergeCell ref="U440:Y440"/>
    <mergeCell ref="U442:Y442"/>
    <mergeCell ref="E444:O446"/>
    <mergeCell ref="T444:Y444"/>
    <mergeCell ref="U445:Y445"/>
    <mergeCell ref="U446:Y446"/>
    <mergeCell ref="D447:O447"/>
    <mergeCell ref="D448:O449"/>
    <mergeCell ref="U448:Y448"/>
    <mergeCell ref="U449:Y449"/>
    <mergeCell ref="U450:Y450"/>
    <mergeCell ref="D465:O465"/>
    <mergeCell ref="D466:O467"/>
    <mergeCell ref="D468:O469"/>
    <mergeCell ref="D471:O474"/>
    <mergeCell ref="D475:O476"/>
    <mergeCell ref="U451:Y451"/>
    <mergeCell ref="D452:O455"/>
    <mergeCell ref="U452:Y452"/>
    <mergeCell ref="U453:Y453"/>
    <mergeCell ref="U455:Y455"/>
    <mergeCell ref="C458:O461"/>
    <mergeCell ref="E462:O464"/>
    <mergeCell ref="U462:Y462"/>
    <mergeCell ref="U463:Y463"/>
    <mergeCell ref="U464:Y464"/>
    <mergeCell ref="C478:H478"/>
    <mergeCell ref="C480:O480"/>
    <mergeCell ref="U480:W480"/>
    <mergeCell ref="T482:W482"/>
    <mergeCell ref="D483:O488"/>
    <mergeCell ref="T483:W483"/>
    <mergeCell ref="T484:W484"/>
    <mergeCell ref="D489:O490"/>
    <mergeCell ref="C493:O494"/>
    <mergeCell ref="U494:Y494"/>
    <mergeCell ref="V495:Y495"/>
    <mergeCell ref="D496:O497"/>
    <mergeCell ref="U496:Y496"/>
    <mergeCell ref="U497:Y497"/>
    <mergeCell ref="D499:O502"/>
    <mergeCell ref="D503:O503"/>
    <mergeCell ref="T503:Y503"/>
    <mergeCell ref="U504:Y504"/>
    <mergeCell ref="U505:Y505"/>
    <mergeCell ref="C505:O508"/>
    <mergeCell ref="U508:Y508"/>
    <mergeCell ref="U513:Y513"/>
    <mergeCell ref="U514:Y514"/>
    <mergeCell ref="U515:Y515"/>
    <mergeCell ref="D509:O509"/>
    <mergeCell ref="E510:O511"/>
    <mergeCell ref="T510:Y510"/>
    <mergeCell ref="U511:Y511"/>
    <mergeCell ref="D512:O512"/>
    <mergeCell ref="D513:O514"/>
    <mergeCell ref="U526:Y526"/>
    <mergeCell ref="D527:O527"/>
    <mergeCell ref="D528:O529"/>
    <mergeCell ref="D531:O534"/>
    <mergeCell ref="U516:Y516"/>
    <mergeCell ref="U517:Y517"/>
    <mergeCell ref="U524:Y524"/>
    <mergeCell ref="U525:Y525"/>
    <mergeCell ref="D517:O520"/>
    <mergeCell ref="U518:Y518"/>
    <mergeCell ref="U520:Y520"/>
    <mergeCell ref="C523:O523"/>
    <mergeCell ref="E524:O525"/>
  </mergeCell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D4174"/>
  </sheetPr>
  <dimension ref="B1:AM242"/>
  <sheetViews>
    <sheetView showGridLines="0" workbookViewId="0">
      <selection activeCell="G16" sqref="G16"/>
    </sheetView>
  </sheetViews>
  <sheetFormatPr baseColWidth="10" defaultColWidth="9.140625" defaultRowHeight="15"/>
  <cols>
    <col min="2" max="2" width="2.7109375" customWidth="1"/>
    <col min="3" max="3" width="7.7109375" customWidth="1"/>
    <col min="4" max="4" width="13.7109375" customWidth="1"/>
    <col min="5" max="6" width="2.7109375" customWidth="1"/>
    <col min="11" max="13" width="9.140625" customWidth="1"/>
    <col min="15" max="15" width="10.140625" customWidth="1"/>
    <col min="16" max="22" width="9.140625" customWidth="1"/>
    <col min="23" max="23" width="9.5703125" bestFit="1" customWidth="1"/>
    <col min="25" max="28" width="9.140625" customWidth="1"/>
    <col min="29" max="29" width="9.5703125" bestFit="1" customWidth="1"/>
    <col min="31" max="33" width="9.140625" customWidth="1"/>
    <col min="35" max="35" width="9.140625" customWidth="1"/>
    <col min="36" max="36" width="11.140625" hidden="1" customWidth="1"/>
    <col min="37" max="38" width="15.28515625" hidden="1" customWidth="1"/>
    <col min="39" max="39" width="9.140625" hidden="1" customWidth="1"/>
    <col min="40" max="40" width="9.140625" customWidth="1"/>
  </cols>
  <sheetData>
    <row r="1" spans="3:33" ht="15.75" thickBot="1">
      <c r="D1" s="40"/>
      <c r="E1" s="40"/>
      <c r="F1" s="40"/>
      <c r="G1" s="40"/>
      <c r="H1" s="40"/>
      <c r="I1" s="40"/>
      <c r="J1" s="40"/>
      <c r="K1" s="40"/>
      <c r="L1" s="40"/>
      <c r="M1" s="40"/>
      <c r="N1" s="40"/>
      <c r="O1" s="40"/>
      <c r="P1" s="40"/>
      <c r="Q1" s="40"/>
    </row>
    <row r="2" spans="3:33" ht="15" customHeight="1">
      <c r="D2" s="40"/>
      <c r="E2" s="40"/>
      <c r="F2" s="40"/>
      <c r="G2" s="40"/>
      <c r="H2" s="40"/>
      <c r="I2" s="436" t="s">
        <v>14</v>
      </c>
      <c r="J2" s="437"/>
      <c r="K2" s="438"/>
      <c r="L2" s="591" t="str">
        <f>IF('Mon Entreprise'!$K$2="","",'Mon Entreprise'!$K$2)</f>
        <v/>
      </c>
      <c r="M2" s="592"/>
      <c r="N2" s="592"/>
      <c r="O2" s="592"/>
      <c r="P2" s="592"/>
      <c r="Q2" s="593"/>
    </row>
    <row r="3" spans="3:33" ht="15" customHeight="1">
      <c r="D3" s="40"/>
      <c r="E3" s="40"/>
      <c r="F3" s="40"/>
      <c r="G3" s="40"/>
      <c r="H3" s="40"/>
      <c r="I3" s="439"/>
      <c r="J3" s="440"/>
      <c r="K3" s="441"/>
      <c r="L3" s="594"/>
      <c r="M3" s="595"/>
      <c r="N3" s="595"/>
      <c r="O3" s="595"/>
      <c r="P3" s="595"/>
      <c r="Q3" s="596"/>
    </row>
    <row r="4" spans="3:33" ht="15" customHeight="1" thickBot="1">
      <c r="D4" s="40"/>
      <c r="E4" s="40"/>
      <c r="F4" s="40"/>
      <c r="G4" s="40"/>
      <c r="H4" s="40"/>
      <c r="I4" s="442"/>
      <c r="J4" s="443"/>
      <c r="K4" s="444"/>
      <c r="L4" s="597"/>
      <c r="M4" s="598"/>
      <c r="N4" s="598"/>
      <c r="O4" s="598"/>
      <c r="P4" s="598"/>
      <c r="Q4" s="599"/>
    </row>
    <row r="5" spans="3:33" ht="15" customHeight="1" thickBot="1">
      <c r="D5" s="40"/>
      <c r="E5" s="40"/>
      <c r="F5" s="40"/>
      <c r="G5" s="40"/>
      <c r="H5" s="40"/>
      <c r="I5" s="41"/>
      <c r="J5" s="41"/>
      <c r="K5" s="41"/>
      <c r="L5" s="42"/>
      <c r="M5" s="42"/>
      <c r="N5" s="42"/>
      <c r="O5" s="42"/>
      <c r="P5" s="42"/>
      <c r="Q5" s="42"/>
    </row>
    <row r="6" spans="3:33" ht="15" customHeight="1" thickBot="1">
      <c r="D6" s="40"/>
      <c r="E6" s="40"/>
      <c r="F6" s="40"/>
      <c r="G6" s="40"/>
      <c r="H6" s="40"/>
      <c r="I6" s="600" t="s">
        <v>55</v>
      </c>
      <c r="J6" s="601"/>
      <c r="K6" s="602"/>
      <c r="L6" s="589" t="str">
        <f>IF('Mon Entreprise'!$K$6="","",'Mon Entreprise'!$K$6)</f>
        <v/>
      </c>
      <c r="M6" s="620"/>
      <c r="N6" s="620"/>
      <c r="O6" s="620"/>
      <c r="P6" s="620"/>
      <c r="Q6" s="590"/>
    </row>
    <row r="7" spans="3:33" ht="15.75" thickBot="1">
      <c r="D7" s="40"/>
      <c r="E7" s="40"/>
      <c r="F7" s="40"/>
      <c r="G7" s="40"/>
      <c r="H7" s="40"/>
      <c r="I7" s="40"/>
      <c r="J7" s="40"/>
      <c r="K7" s="40"/>
      <c r="L7" s="40"/>
      <c r="M7" s="40"/>
      <c r="N7" s="40"/>
      <c r="O7" s="40"/>
      <c r="P7" s="40"/>
      <c r="Q7" s="40"/>
    </row>
    <row r="8" spans="3:33" ht="15.75" thickBot="1">
      <c r="D8" s="40"/>
      <c r="E8" s="40"/>
      <c r="F8" s="40"/>
      <c r="G8" s="40"/>
      <c r="H8" s="40"/>
      <c r="I8" s="586" t="s">
        <v>15</v>
      </c>
      <c r="J8" s="587"/>
      <c r="K8" s="588"/>
      <c r="L8" s="589" t="str">
        <f>IF('Mon Entreprise'!$K$8="","",'Mon Entreprise'!$K$8)</f>
        <v/>
      </c>
      <c r="M8" s="590"/>
      <c r="N8" s="468"/>
      <c r="O8" s="487"/>
      <c r="P8" s="487"/>
      <c r="Q8" s="487"/>
    </row>
    <row r="9" spans="3:33" ht="15" customHeight="1">
      <c r="D9" s="101"/>
      <c r="E9" s="101"/>
      <c r="F9" s="101"/>
      <c r="G9" s="101"/>
      <c r="H9" s="96"/>
      <c r="I9" s="96"/>
      <c r="J9" s="96"/>
      <c r="K9" s="96"/>
      <c r="L9" s="96"/>
      <c r="M9" s="96"/>
      <c r="N9" s="91"/>
      <c r="O9" s="91"/>
      <c r="P9" s="91"/>
      <c r="Q9" s="91"/>
      <c r="T9" s="99"/>
      <c r="U9" s="99"/>
      <c r="Z9" s="99"/>
      <c r="AA9" s="99"/>
      <c r="AF9" s="99"/>
      <c r="AG9" s="99"/>
    </row>
    <row r="10" spans="3:33" ht="15" customHeight="1">
      <c r="C10" s="280"/>
      <c r="D10" s="280"/>
      <c r="E10" s="280"/>
      <c r="F10" s="280"/>
      <c r="G10" s="280"/>
      <c r="H10" s="280"/>
      <c r="I10" s="280"/>
      <c r="J10" s="280"/>
      <c r="K10" s="280"/>
      <c r="L10" s="280"/>
      <c r="M10" s="280"/>
      <c r="N10" s="280"/>
      <c r="O10" s="280"/>
      <c r="P10" s="280"/>
      <c r="Q10" s="280"/>
      <c r="R10" s="280"/>
      <c r="S10" s="280"/>
      <c r="T10" s="280"/>
      <c r="U10" s="280"/>
      <c r="V10" s="280"/>
      <c r="W10" s="280"/>
      <c r="Y10" s="280"/>
      <c r="Z10" s="280"/>
      <c r="AA10" s="280"/>
      <c r="AB10" s="280"/>
      <c r="AC10" s="280"/>
      <c r="AE10" s="280"/>
      <c r="AF10" s="280"/>
      <c r="AG10" s="280"/>
    </row>
    <row r="11" spans="3:33" ht="15" customHeight="1">
      <c r="C11" s="576" t="s">
        <v>367</v>
      </c>
      <c r="D11" s="576"/>
      <c r="E11" s="576"/>
      <c r="F11" s="576"/>
      <c r="G11" s="576"/>
      <c r="H11" s="576"/>
      <c r="I11" s="576"/>
      <c r="J11" s="576"/>
      <c r="K11" s="576"/>
      <c r="L11" s="576"/>
      <c r="M11" s="576"/>
      <c r="N11" s="576"/>
      <c r="O11" s="576"/>
      <c r="P11" s="576"/>
      <c r="Q11" s="576"/>
      <c r="R11" s="576"/>
      <c r="S11" s="576"/>
      <c r="T11" s="576"/>
      <c r="U11" s="576"/>
      <c r="V11" s="576"/>
      <c r="W11" s="576"/>
    </row>
    <row r="12" spans="3:33" ht="15" customHeight="1">
      <c r="C12" s="394"/>
      <c r="D12" s="394"/>
      <c r="E12" s="394"/>
      <c r="F12" s="394"/>
      <c r="G12" s="394"/>
      <c r="H12" s="394"/>
      <c r="I12" s="394"/>
      <c r="J12" s="394"/>
      <c r="K12" s="394"/>
      <c r="L12" s="394"/>
      <c r="M12" s="394"/>
      <c r="N12" s="394"/>
      <c r="O12" s="394"/>
      <c r="P12" s="394"/>
      <c r="Q12" s="394"/>
      <c r="R12" s="394"/>
      <c r="S12" s="394"/>
      <c r="T12" s="394"/>
      <c r="U12" s="394"/>
      <c r="V12" s="394"/>
      <c r="W12" s="394"/>
      <c r="Y12" s="394"/>
      <c r="Z12" s="394"/>
      <c r="AA12" s="394"/>
      <c r="AB12" s="394"/>
      <c r="AC12" s="394"/>
      <c r="AE12" s="394"/>
      <c r="AF12" s="394"/>
      <c r="AG12" s="394"/>
    </row>
    <row r="13" spans="3:33" ht="15" customHeight="1">
      <c r="C13" s="576" t="s">
        <v>368</v>
      </c>
      <c r="D13" s="576"/>
      <c r="E13" s="576"/>
      <c r="F13" s="576"/>
      <c r="G13" s="576"/>
      <c r="H13" s="576"/>
      <c r="I13" s="576"/>
      <c r="J13" s="576"/>
      <c r="K13" s="576"/>
      <c r="L13" s="576"/>
      <c r="M13" s="576"/>
      <c r="N13" s="576"/>
      <c r="O13" s="576"/>
      <c r="P13" s="576"/>
      <c r="Q13" s="576"/>
      <c r="R13" s="576"/>
      <c r="S13" s="576"/>
      <c r="T13" s="576"/>
      <c r="U13" s="576"/>
      <c r="V13" s="576"/>
      <c r="W13" s="576"/>
    </row>
    <row r="14" spans="3:33" ht="15" customHeight="1">
      <c r="C14" s="576"/>
      <c r="D14" s="576"/>
      <c r="E14" s="576"/>
      <c r="F14" s="576"/>
      <c r="G14" s="576"/>
      <c r="H14" s="576"/>
      <c r="I14" s="576"/>
      <c r="J14" s="576"/>
      <c r="K14" s="576"/>
      <c r="L14" s="576"/>
      <c r="M14" s="576"/>
      <c r="N14" s="576"/>
      <c r="O14" s="576"/>
      <c r="P14" s="576"/>
      <c r="Q14" s="576"/>
      <c r="R14" s="576"/>
      <c r="S14" s="576"/>
      <c r="T14" s="576"/>
      <c r="U14" s="576"/>
      <c r="V14" s="576"/>
      <c r="W14" s="576"/>
    </row>
    <row r="15" spans="3:33" ht="15" customHeight="1">
      <c r="C15" s="276"/>
      <c r="D15" s="276"/>
      <c r="E15" s="276"/>
      <c r="F15" s="276"/>
      <c r="G15" s="276"/>
      <c r="H15" s="276"/>
      <c r="I15" s="276"/>
      <c r="J15" s="276"/>
      <c r="K15" s="276"/>
      <c r="L15" s="276"/>
      <c r="M15" s="276"/>
      <c r="N15" s="276"/>
      <c r="O15" s="276"/>
      <c r="P15" s="276"/>
      <c r="Q15" s="276"/>
      <c r="R15" s="276"/>
      <c r="S15" s="276"/>
      <c r="T15" s="276"/>
      <c r="U15" s="276"/>
      <c r="V15" s="276"/>
      <c r="W15" s="276"/>
      <c r="Y15" s="276"/>
      <c r="Z15" s="276"/>
      <c r="AA15" s="276"/>
      <c r="AB15" s="276"/>
      <c r="AC15" s="276"/>
      <c r="AE15" s="276"/>
      <c r="AF15" s="276"/>
      <c r="AG15" s="276"/>
    </row>
    <row r="16" spans="3:33" ht="15" customHeight="1">
      <c r="C16" s="607" t="s">
        <v>370</v>
      </c>
      <c r="D16" s="608"/>
      <c r="E16" s="608"/>
      <c r="F16" s="609"/>
      <c r="G16" s="316"/>
      <c r="H16" s="286"/>
      <c r="I16" s="423" t="s">
        <v>379</v>
      </c>
      <c r="J16" s="621"/>
      <c r="K16" s="611">
        <v>0</v>
      </c>
      <c r="L16" s="612"/>
      <c r="M16" s="286"/>
      <c r="N16" s="607" t="s">
        <v>433</v>
      </c>
      <c r="O16" s="608"/>
      <c r="P16" s="609"/>
      <c r="Q16" s="617">
        <v>0</v>
      </c>
      <c r="R16" s="618"/>
      <c r="W16" s="280"/>
      <c r="AC16" s="280"/>
    </row>
    <row r="17" spans="2:39">
      <c r="E17" s="44"/>
      <c r="F17" s="44"/>
      <c r="G17" s="44"/>
      <c r="H17" s="44"/>
      <c r="I17" s="44"/>
      <c r="J17" s="44"/>
      <c r="K17" s="44"/>
      <c r="L17" s="44"/>
      <c r="M17" s="44"/>
      <c r="N17" s="44"/>
      <c r="O17" s="44"/>
      <c r="P17" s="44"/>
      <c r="Q17" s="40"/>
      <c r="R17" s="40"/>
      <c r="S17" s="1"/>
      <c r="Y17" s="1"/>
      <c r="AE17" s="1"/>
    </row>
    <row r="18" spans="2:39" ht="15" customHeight="1">
      <c r="C18" s="607" t="s">
        <v>369</v>
      </c>
      <c r="D18" s="608"/>
      <c r="E18" s="608"/>
      <c r="F18" s="608"/>
      <c r="G18" s="608"/>
      <c r="J18" s="44"/>
      <c r="N18" s="44"/>
      <c r="O18" s="44"/>
      <c r="P18" s="44"/>
      <c r="Q18" s="40"/>
      <c r="R18" s="40"/>
      <c r="S18" s="1"/>
      <c r="Y18" s="1"/>
      <c r="AE18" s="1"/>
    </row>
    <row r="19" spans="2:39">
      <c r="G19" s="44"/>
      <c r="H19" s="44"/>
      <c r="I19" s="44"/>
      <c r="J19" s="44"/>
      <c r="K19" s="44"/>
      <c r="L19" s="44"/>
      <c r="M19" s="44"/>
      <c r="N19" s="44"/>
      <c r="O19" s="44"/>
      <c r="P19" s="44"/>
      <c r="Q19" s="40"/>
      <c r="R19" s="40"/>
      <c r="S19" s="1"/>
      <c r="Y19" s="1"/>
      <c r="AE19" s="1"/>
    </row>
    <row r="20" spans="2:39">
      <c r="G20" s="535" t="s">
        <v>301</v>
      </c>
      <c r="H20" s="535"/>
      <c r="I20" s="1"/>
      <c r="J20" s="606" t="s">
        <v>307</v>
      </c>
      <c r="K20" s="606"/>
      <c r="M20" s="606" t="s">
        <v>344</v>
      </c>
      <c r="N20" s="606"/>
      <c r="P20" s="606" t="s">
        <v>345</v>
      </c>
      <c r="Q20" s="606"/>
      <c r="S20" s="606" t="s">
        <v>346</v>
      </c>
      <c r="T20" s="606"/>
      <c r="V20" s="606" t="s">
        <v>347</v>
      </c>
      <c r="W20" s="606"/>
      <c r="Y20" s="606" t="s">
        <v>469</v>
      </c>
      <c r="Z20" s="606"/>
      <c r="AB20" s="606" t="s">
        <v>502</v>
      </c>
      <c r="AC20" s="606"/>
      <c r="AE20" s="606" t="s">
        <v>10</v>
      </c>
      <c r="AF20" s="606"/>
    </row>
    <row r="21" spans="2:39">
      <c r="H21" s="1"/>
      <c r="I21" s="1"/>
    </row>
    <row r="22" spans="2:39">
      <c r="C22" s="605" t="s">
        <v>348</v>
      </c>
      <c r="D22" s="605"/>
      <c r="G22" s="603">
        <v>0</v>
      </c>
      <c r="H22" s="604"/>
      <c r="J22" s="603">
        <v>0</v>
      </c>
      <c r="K22" s="604"/>
      <c r="M22" s="603">
        <v>0</v>
      </c>
      <c r="N22" s="604"/>
      <c r="P22" s="603">
        <v>0</v>
      </c>
      <c r="Q22" s="604"/>
      <c r="S22" s="603">
        <v>0</v>
      </c>
      <c r="T22" s="604"/>
      <c r="V22" s="603">
        <v>0</v>
      </c>
      <c r="W22" s="604"/>
      <c r="Y22" s="603">
        <v>0</v>
      </c>
      <c r="Z22" s="604"/>
      <c r="AB22" s="603">
        <v>0</v>
      </c>
      <c r="AC22" s="604"/>
      <c r="AE22" s="603">
        <v>0</v>
      </c>
      <c r="AF22" s="604"/>
      <c r="AJ22" s="3"/>
    </row>
    <row r="23" spans="2:39">
      <c r="H23" s="1"/>
      <c r="I23" s="1"/>
      <c r="P23" s="6"/>
      <c r="AJ23" s="281" t="s">
        <v>361</v>
      </c>
    </row>
    <row r="24" spans="2:39">
      <c r="B24" s="396" t="s">
        <v>349</v>
      </c>
      <c r="C24" s="605" t="s">
        <v>351</v>
      </c>
      <c r="D24" s="605"/>
      <c r="G24" s="603">
        <v>0</v>
      </c>
      <c r="H24" s="604"/>
      <c r="J24" s="603">
        <v>0</v>
      </c>
      <c r="K24" s="604"/>
      <c r="M24" s="603">
        <v>0</v>
      </c>
      <c r="N24" s="604"/>
      <c r="P24" s="603">
        <v>0</v>
      </c>
      <c r="Q24" s="604"/>
      <c r="S24" s="603">
        <v>0</v>
      </c>
      <c r="T24" s="604"/>
      <c r="V24" s="603">
        <v>0</v>
      </c>
      <c r="W24" s="604"/>
      <c r="Y24" s="603">
        <v>0</v>
      </c>
      <c r="Z24" s="604"/>
      <c r="AB24" s="603">
        <v>0</v>
      </c>
      <c r="AC24" s="604"/>
      <c r="AE24" s="603">
        <v>0</v>
      </c>
      <c r="AF24" s="604"/>
      <c r="AJ24" s="281" t="s">
        <v>362</v>
      </c>
    </row>
    <row r="25" spans="2:39">
      <c r="B25" s="396"/>
      <c r="C25" s="605"/>
      <c r="D25" s="605"/>
      <c r="P25" s="5"/>
    </row>
    <row r="26" spans="2:39">
      <c r="B26" s="396" t="s">
        <v>350</v>
      </c>
      <c r="C26" s="605" t="s">
        <v>352</v>
      </c>
      <c r="D26" s="605"/>
      <c r="G26" s="603">
        <v>0</v>
      </c>
      <c r="H26" s="604"/>
      <c r="J26" s="603">
        <v>0</v>
      </c>
      <c r="K26" s="604"/>
      <c r="M26" s="603">
        <v>0</v>
      </c>
      <c r="N26" s="604"/>
      <c r="P26" s="603">
        <v>0</v>
      </c>
      <c r="Q26" s="604"/>
      <c r="S26" s="603">
        <v>0</v>
      </c>
      <c r="T26" s="604"/>
      <c r="V26" s="603">
        <v>0</v>
      </c>
      <c r="W26" s="604"/>
      <c r="Y26" s="603">
        <v>0</v>
      </c>
      <c r="Z26" s="604"/>
      <c r="AB26" s="603">
        <v>0</v>
      </c>
      <c r="AC26" s="604"/>
      <c r="AE26" s="603">
        <v>0</v>
      </c>
      <c r="AF26" s="604"/>
    </row>
    <row r="27" spans="2:39">
      <c r="B27" s="396"/>
      <c r="C27" s="605"/>
      <c r="D27" s="605"/>
      <c r="AK27" t="s">
        <v>377</v>
      </c>
      <c r="AL27" t="s">
        <v>378</v>
      </c>
    </row>
    <row r="28" spans="2:39" ht="15" customHeight="1">
      <c r="B28" s="396" t="s">
        <v>350</v>
      </c>
      <c r="C28" s="610" t="s">
        <v>353</v>
      </c>
      <c r="D28" s="610"/>
      <c r="G28" s="603">
        <v>0</v>
      </c>
      <c r="H28" s="604"/>
      <c r="J28" s="603">
        <v>0</v>
      </c>
      <c r="K28" s="604"/>
      <c r="M28" s="603">
        <v>0</v>
      </c>
      <c r="N28" s="604"/>
      <c r="P28" s="603">
        <v>0</v>
      </c>
      <c r="Q28" s="604"/>
      <c r="S28" s="603">
        <v>0</v>
      </c>
      <c r="T28" s="604"/>
      <c r="V28" s="603">
        <v>0</v>
      </c>
      <c r="W28" s="604"/>
      <c r="Y28" s="603">
        <v>0</v>
      </c>
      <c r="Z28" s="604"/>
      <c r="AB28" s="603">
        <v>0</v>
      </c>
      <c r="AC28" s="604"/>
      <c r="AE28" s="603">
        <v>0</v>
      </c>
      <c r="AF28" s="604"/>
      <c r="AJ28" t="s">
        <v>372</v>
      </c>
      <c r="AK28" s="310">
        <f>IFERROR(IF($AM$28=0,0,IF($AM$28=1,IF(AND(G16&gt;=50,OR(K16&gt;=10000000,'Mon Entreprise'!M96&gt;=10000000)),IF(G$35*-0.7&gt;=10000000,10000000,G$35*-0.7),IF(G$35*-0.9&gt;10000000,10000000,G$35*-0.9)))),0)</f>
        <v>0</v>
      </c>
      <c r="AL28" s="311">
        <f>AK28</f>
        <v>0</v>
      </c>
      <c r="AM28">
        <f>IFERROR(IF(AND(AND(1-('Mon Entreprise'!M122+'Mon Entreprise'!M124)/('Mon Entreprise'!I122+'Mon Entreprise'!I124)&gt;=0.5,OR('Mes Aides'!AB199="OUI",'Mes Aides'!AB200="OUI",'Mes Aides'!AB201="OUI",'Mes Aides'!AB202=TRUE)),OR(AND(C47=AJ23,C48=AJ23,C49=AJ23,C50=AJ23,C51=AJ23),AND(C47=AJ23,C51=AJ23,AND(Annexes!V6&gt;=Annexes!X6,Annexes!V6&lt;=Annexes!X7)))),1,0),0)</f>
        <v>0</v>
      </c>
    </row>
    <row r="29" spans="2:39">
      <c r="B29" s="396"/>
      <c r="C29" s="610"/>
      <c r="D29" s="610"/>
      <c r="N29" s="317"/>
      <c r="AJ29" t="s">
        <v>380</v>
      </c>
      <c r="AK29" s="312">
        <f>IFERROR(IF($AM$29=0,0,IF($AM$29=1,IF(AND(G16&gt;=50,OR(K16&gt;=10000000,'Mon Entreprise'!M96&gt;=10000000)),IF(J$35*-0.7+AL28&gt;=10000000,10000000-AL28,J$35*-0.7),IF(J$35*-0.9+AL28&gt;10000000,10000000-AL28,J$35*-0.9)))),0)</f>
        <v>0</v>
      </c>
      <c r="AL29" s="311">
        <f>AK29+AL28</f>
        <v>0</v>
      </c>
      <c r="AM29">
        <f>IFERROR(IF(AND(AND(1-('Mon Entreprise'!M122+'Mon Entreprise'!M124)/('Mon Entreprise'!I122+'Mon Entreprise'!I124)&gt;=0.5,OR('Mes Aides'!AB254="OUI",'Mes Aides'!AB255="OUI",'Mes Aides'!AB256="OUI",'Mes Aides'!AB227=TRUE)),OR(AND(C69=AJ23,C70=AJ23,C71=AJ23,C72=AJ23,C73=AJ23),AND(C69=AJ23,C73=AJ23,AND(Annexes!V6&gt;=Annexes!X6,Annexes!V6&lt;=Annexes!X7)))),1,0),0)</f>
        <v>0</v>
      </c>
    </row>
    <row r="30" spans="2:39">
      <c r="B30" s="396" t="s">
        <v>350</v>
      </c>
      <c r="C30" s="605" t="s">
        <v>354</v>
      </c>
      <c r="D30" s="605"/>
      <c r="G30" s="603">
        <v>0</v>
      </c>
      <c r="H30" s="604"/>
      <c r="J30" s="603">
        <v>0</v>
      </c>
      <c r="K30" s="604"/>
      <c r="M30" s="603">
        <v>0</v>
      </c>
      <c r="N30" s="604"/>
      <c r="P30" s="603">
        <v>0</v>
      </c>
      <c r="Q30" s="604"/>
      <c r="S30" s="603">
        <v>0</v>
      </c>
      <c r="T30" s="604"/>
      <c r="V30" s="603">
        <v>0</v>
      </c>
      <c r="W30" s="604"/>
      <c r="Y30" s="603">
        <v>0</v>
      </c>
      <c r="Z30" s="604"/>
      <c r="AB30" s="603">
        <v>0</v>
      </c>
      <c r="AC30" s="604"/>
      <c r="AE30" s="603">
        <v>0</v>
      </c>
      <c r="AF30" s="604"/>
      <c r="AJ30" t="s">
        <v>373</v>
      </c>
      <c r="AK30" s="310">
        <f>IFERROR(IF($AM$30=0,0,IF($AM$30=1,IF(AND(G16&gt;=50,OR(K16&gt;=10000000,'Mon Entreprise'!M96&gt;=10000000)),IF(M$35*-0.7+AL29&gt;=10000000,10000000-AL29,M$35*-0.7),IF(M$35*-0.9+AL29&gt;10000000,10000000-AL29,M$35*-0.9)))),0)</f>
        <v>0</v>
      </c>
      <c r="AL30" s="311">
        <f>AK30+AL29</f>
        <v>0</v>
      </c>
      <c r="AM30" s="313">
        <f>IFERROR(IF(AND(AND(1-('Mon Entreprise'!M126+'Mon Entreprise'!M128)/('Mon Entreprise'!I126+'Mon Entreprise'!I128)&gt;=0.5,OR('Mes Aides'!AB314="OUI",'Mes Aides'!AB315="OUI",'Mes Aides'!AB316="OUI",'Mes Aides'!AB317=TRUE,'Mes Aides'!AB318=TRUE)),OR(AND(C91=AJ23,C92=AJ23,C93=AJ23,C94=AJ23,C95=AJ23),AND(C91=AJ23,C95=AJ23,AND(Annexes!V6&gt;=Annexes!X6,Annexes!V6&lt;=Annexes!X7)))),1,0),0)</f>
        <v>0</v>
      </c>
    </row>
    <row r="31" spans="2:39" ht="17.25" customHeight="1">
      <c r="B31" s="396"/>
      <c r="C31" s="605"/>
      <c r="D31" s="605"/>
      <c r="AJ31" t="s">
        <v>374</v>
      </c>
      <c r="AK31" s="310">
        <f>IFERROR(IF($AM$31=0,0,IF($AM$31=1,IF(AND(G16&gt;=50,OR(K16&gt;=10000000,'Mon Entreprise'!M96&gt;=10000000)),IF(P$35*-0.7+AL30&gt;=10000000,10000000-AL30,P$35*-0.7),IF(P$35*-0.9+AL30&gt;10000000,10000000-AL30,P$35*-0.9)))),0)</f>
        <v>0</v>
      </c>
      <c r="AL31" s="311">
        <f>AK31+AL30</f>
        <v>0</v>
      </c>
      <c r="AM31" s="313">
        <f>IFERROR(IF(AND(AND(1-('Mon Entreprise'!M126+'Mon Entreprise'!M128)/('Mon Entreprise'!I126+'Mon Entreprise'!I128)&gt;=0.5,OR('Mes Aides'!AB378="OUI",'Mes Aides'!AB379="OUI",'Mes Aides'!AB380="OUI",'Mes Aides'!AB381=TRUE,'Mes Aides'!AB382=TRUE)),OR(AND(C113=AJ23,C114=AJ23,C115=AJ23,C116=AJ23,C117=AJ23),AND(C113=AJ23,C117=AJ23,AND(Annexes!V6&gt;=Annexes!X6,Annexes!V6&lt;=Annexes!X7)))),1,0),0)</f>
        <v>0</v>
      </c>
    </row>
    <row r="32" spans="2:39" ht="15" customHeight="1">
      <c r="B32" s="396" t="s">
        <v>350</v>
      </c>
      <c r="C32" s="610" t="s">
        <v>355</v>
      </c>
      <c r="D32" s="610"/>
      <c r="G32" s="603">
        <v>0</v>
      </c>
      <c r="H32" s="604"/>
      <c r="J32" s="603">
        <v>0</v>
      </c>
      <c r="K32" s="604"/>
      <c r="M32" s="603">
        <v>0</v>
      </c>
      <c r="N32" s="604"/>
      <c r="P32" s="603">
        <v>0</v>
      </c>
      <c r="Q32" s="604"/>
      <c r="S32" s="603">
        <v>0</v>
      </c>
      <c r="T32" s="604"/>
      <c r="V32" s="603">
        <v>0</v>
      </c>
      <c r="W32" s="604"/>
      <c r="Y32" s="603">
        <v>0</v>
      </c>
      <c r="Z32" s="604"/>
      <c r="AB32" s="603">
        <v>0</v>
      </c>
      <c r="AC32" s="604"/>
      <c r="AE32" s="603">
        <v>0</v>
      </c>
      <c r="AF32" s="604"/>
      <c r="AJ32" t="s">
        <v>375</v>
      </c>
      <c r="AK32" s="310">
        <f>IFERROR(IF($AM$32=0,0,IF($AM$32=1,IF(AND(G16&gt;=50,OR(K16&gt;=10000000,'Mon Entreprise'!M96&gt;=10000000)),IF(S$35*-0.7+AL31&gt;=10000000,10000000-AL31,S$35*-0.7),IF(S$35*-0.9+AL31&gt;10000000,10000000-AL31,S$35*-0.9)))),0)</f>
        <v>0</v>
      </c>
      <c r="AL32" s="311">
        <f>AK32+AL31</f>
        <v>0</v>
      </c>
      <c r="AM32" s="313">
        <f>IFERROR(IF(AND(AND(1-('Mon Entreprise'!M130+'Mon Entreprise'!M132)/('Mon Entreprise'!I130+'Mon Entreprise'!I132)&gt;=0.5,OR('Mes Aides'!AB442="OUI",'Mes Aides'!AB443="OUI",'Mes Aides'!AB444="OUI",'Mes Aides'!AB445=TRUE,'Mes Aides'!AB446=TRUE)),OR(AND(C135=AJ23,C136=AJ23,C137=AJ23,C138=AJ23,C139=AJ23),AND(C135=AJ23,C139=AJ23,AND(Annexes!V6&gt;=Annexes!X6,Annexes!V6&lt;=Annexes!X7)))),1,0),0)</f>
        <v>0</v>
      </c>
    </row>
    <row r="33" spans="2:39">
      <c r="B33" s="396"/>
      <c r="C33" s="610"/>
      <c r="D33" s="610"/>
      <c r="AJ33" t="s">
        <v>376</v>
      </c>
      <c r="AK33" s="310">
        <f>IFERROR(IF($AM$33=0,0,IF($AM$33=1,IF(AND(G16&gt;=50,OR(K16&gt;=10000000,'Mon Entreprise'!M96&gt;=10000000)),IF(V$35*-0.7+AL32&gt;=10000000,10000000-AL32,V$35*-0.7),IF(V$35*-0.9+AL32&gt;10000000,10000000-AL32,V$35*-0.9)))),0)</f>
        <v>0</v>
      </c>
      <c r="AL33" s="311">
        <f>AK33+AL32</f>
        <v>0</v>
      </c>
      <c r="AM33" s="313">
        <f>IFERROR(IF(AND(AND(1-('Mon Entreprise'!M130+'Mon Entreprise'!M132)/('Mon Entreprise'!I130+'Mon Entreprise'!I132)&gt;=0.5,OR('Mes Aides'!AB508="OUI",'Mes Aides'!AB509="OUI",'Mes Aides'!AB510="OUI",'Mes Aides'!AB511=TRUE)),OR(AND(C157=AJ23,C158=AJ23,C159=AJ23,C160=AJ23,C161=AJ23),AND(C157=AJ23,C161=AJ23,AND(Annexes!V6&gt;=Annexes!X6,Annexes!V6&lt;=Annexes!X7)))),1,0),0)</f>
        <v>0</v>
      </c>
    </row>
    <row r="34" spans="2:39">
      <c r="G34" s="277"/>
      <c r="H34" s="277"/>
      <c r="I34" s="1"/>
      <c r="J34" s="277"/>
      <c r="K34" s="277"/>
      <c r="L34" s="1"/>
      <c r="M34" s="277"/>
      <c r="N34" s="277"/>
      <c r="O34" s="1"/>
      <c r="P34" s="277"/>
      <c r="Q34" s="277"/>
      <c r="R34" s="1"/>
      <c r="S34" s="277"/>
      <c r="T34" s="277"/>
      <c r="U34" s="1"/>
      <c r="V34" s="277"/>
      <c r="W34" s="277"/>
      <c r="Y34" s="277"/>
      <c r="Z34" s="277"/>
      <c r="AA34" s="1"/>
      <c r="AB34" s="277"/>
      <c r="AC34" s="277"/>
      <c r="AE34" s="277"/>
      <c r="AF34" s="277"/>
      <c r="AG34" s="1"/>
      <c r="AJ34" t="s">
        <v>529</v>
      </c>
      <c r="AK34" s="310">
        <f>IFERROR(IF($AM$34=0,0,IF($AM$34=1,IF(AND(G16&gt;=50,OR(K16&gt;=10000000,'Mon Entreprise'!M96&gt;=10000000)),IF(Y35*-0.7+AL33&gt;=10000000,10000000-AL33,Y$35*-0.7),IF(Y$35*-0.9+AL33&gt;10000000,10000000-AL33,Y$35*-0.9)))),0)</f>
        <v>0</v>
      </c>
      <c r="AL34" s="311">
        <f t="shared" ref="AL34:AL36" si="0">AK34+AL33</f>
        <v>0</v>
      </c>
      <c r="AM34" s="313">
        <f>IFERROR(IF(AND(AND(1-('Mon Entreprise'!M134+'Mon Entreprise'!M136)/('Mon Entreprise'!I134+'Mon Entreprise'!I136)&gt;=0.5,OR('Mes Aides'!AB567="OUI",'Mes Aides'!AB568="OUI",'Mes Aides'!AB569="OUI",Annexes!M38=TRUE)),OR(AND(C179=AJ23,C180=AJ23,C181=AJ23,C182=AJ23,C183=AJ23),AND(C179=AJ23,C180=AJ23,C182=AJ23,C183=AJ23,AND(Annexes!V6&gt;=Annexes!X6,Annexes!V6&lt;=Annexes!X7)))),1,0),0)</f>
        <v>0</v>
      </c>
    </row>
    <row r="35" spans="2:39" ht="15" customHeight="1">
      <c r="C35" s="610" t="s">
        <v>356</v>
      </c>
      <c r="D35" s="610"/>
      <c r="E35" s="619" t="s">
        <v>357</v>
      </c>
      <c r="F35" s="622"/>
      <c r="G35" s="613">
        <f>G22+G24-G26-G28-G30-G32</f>
        <v>0</v>
      </c>
      <c r="H35" s="614"/>
      <c r="J35" s="613">
        <f>J22+J24-J26-J28-J30-J32</f>
        <v>0</v>
      </c>
      <c r="K35" s="614"/>
      <c r="M35" s="613">
        <f>M22+M24-M26-M28-M30-M32</f>
        <v>0</v>
      </c>
      <c r="N35" s="614"/>
      <c r="P35" s="613">
        <f>P22+P24-P26-P28-P30-P32</f>
        <v>0</v>
      </c>
      <c r="Q35" s="614"/>
      <c r="S35" s="613">
        <f>S22+S24-S26-S28-S30-S32</f>
        <v>0</v>
      </c>
      <c r="T35" s="614"/>
      <c r="V35" s="613">
        <f>V22+V24-V26-V28-V30-V32</f>
        <v>0</v>
      </c>
      <c r="W35" s="614"/>
      <c r="Y35" s="613">
        <f>Y22+Y24-Y26-Y28-Y30-Y32</f>
        <v>0</v>
      </c>
      <c r="Z35" s="614"/>
      <c r="AB35" s="613">
        <f>AB22+AB24-AB26-AB28-AB30-AB32</f>
        <v>0</v>
      </c>
      <c r="AC35" s="614"/>
      <c r="AE35" s="613">
        <f>AE22+AE24-AE26-AE28-AE30-AE32</f>
        <v>0</v>
      </c>
      <c r="AF35" s="614"/>
      <c r="AJ35" t="s">
        <v>530</v>
      </c>
      <c r="AK35" s="310">
        <f>IFERROR(IF($AM$35=0,0,IF($AM$35=1,IF(AND(G16&gt;=50,OR(K16&gt;=10000000,'Mon Entreprise'!M96&gt;=10000000)),IF(AB35*-0.7+AL34&gt;=10000000,10000000-AL34,AB$35*-0.7),IF(AB$35*-0.9+AL34&gt;10000000,10000000-AL34,AB$35*-0.9)))),0)</f>
        <v>0</v>
      </c>
      <c r="AL35" s="311">
        <f t="shared" si="0"/>
        <v>0</v>
      </c>
      <c r="AM35" s="313">
        <f>IFERROR(IF(AND(AND(1-('Mon Entreprise'!M134+'Mon Entreprise'!M136)/('Mon Entreprise'!I134+'Mon Entreprise'!I136)&gt;=0.5,OR('Mes Aides'!AB627="OUI",'Mes Aides'!AB628="OUI",'Mes Aides'!AB629="OUI",Annexes!M41=TRUE)),OR(AND(C201=AJ23,C202=AJ23,C203=AJ23,C204=AJ23,C205=AJ23),AND(C201=AJ23,C202=AJ23,C204=AJ23,C205=AJ23,AND(Annexes!V6&gt;=Annexes!X6,Annexes!V6&lt;=Annexes!X7)))),1,0),0)</f>
        <v>0</v>
      </c>
    </row>
    <row r="36" spans="2:39">
      <c r="C36" s="610"/>
      <c r="D36" s="610"/>
      <c r="E36" s="619"/>
      <c r="F36" s="622"/>
      <c r="G36" s="615"/>
      <c r="H36" s="616"/>
      <c r="J36" s="615"/>
      <c r="K36" s="616"/>
      <c r="M36" s="615"/>
      <c r="N36" s="616"/>
      <c r="P36" s="615"/>
      <c r="Q36" s="616"/>
      <c r="S36" s="615"/>
      <c r="T36" s="616"/>
      <c r="V36" s="615"/>
      <c r="W36" s="616"/>
      <c r="Y36" s="615"/>
      <c r="Z36" s="616"/>
      <c r="AB36" s="615"/>
      <c r="AC36" s="616"/>
      <c r="AE36" s="615"/>
      <c r="AF36" s="616"/>
      <c r="AJ36" t="s">
        <v>531</v>
      </c>
      <c r="AK36" s="310">
        <f>IFERROR(IF($AM$36=0,0,IF($AM$36=1,IF(AND(G16&gt;=50,OR(K16&gt;=10000000,'Mon Entreprise'!M96&gt;=10000000)),IF(AE35*-0.7+AL35&gt;=10000000,10000000-AL35,AE$35*-0.7),IF(AE$35*-0.9+AL35&gt;10000000,10000000-AL35,AE$35*-0.9)))),0)</f>
        <v>0</v>
      </c>
      <c r="AL36" s="311">
        <f>AK36+AL35</f>
        <v>0</v>
      </c>
      <c r="AM36" s="313">
        <f>IFERROR(IF(AND(AND(1-('Mon Entreprise'!M138)/('Mon Entreprise'!I138)&gt;=0.5,OR('Mes Aides'!AB689="OUI",'Mes Aides'!AB690="OUI",'Mes Aides'!AB691="OUI",Annexes!M45=TRUE)),OR(AND(C223=AJ23,C224=AJ23,C225=AJ23,C226=AJ23,C227=AJ23),AND(C223=AJ23,C224=AJ23,C226=AJ23,C227=AJ23,AND(Annexes!V6&gt;=Annexes!X6,Annexes!V6&lt;=Annexes!X7)))),1,0),0)</f>
        <v>0</v>
      </c>
    </row>
    <row r="37" spans="2:39">
      <c r="AK37" s="310"/>
      <c r="AL37" s="311"/>
      <c r="AM37" s="313"/>
    </row>
    <row r="41" spans="2:39" ht="16.5" thickBot="1">
      <c r="B41" s="220"/>
      <c r="C41" s="488" t="s">
        <v>359</v>
      </c>
      <c r="D41" s="488"/>
      <c r="E41" s="488"/>
      <c r="F41" s="488"/>
      <c r="G41" s="488"/>
      <c r="H41" s="488"/>
      <c r="I41" s="488"/>
      <c r="J41" s="221"/>
      <c r="K41" s="221"/>
      <c r="L41" s="221"/>
      <c r="M41" s="221"/>
      <c r="N41" s="221"/>
      <c r="O41" s="221"/>
      <c r="P41" s="221"/>
    </row>
    <row r="42" spans="2:39" ht="15.75">
      <c r="B42" s="63"/>
      <c r="C42" s="103"/>
      <c r="D42" s="24"/>
      <c r="E42" s="24"/>
      <c r="F42" s="24"/>
      <c r="G42" s="24"/>
      <c r="H42" s="24"/>
      <c r="I42" s="103"/>
      <c r="J42" s="1"/>
      <c r="K42" s="1"/>
      <c r="L42" s="1"/>
      <c r="M42" s="1"/>
      <c r="N42" s="1"/>
      <c r="O42" s="1"/>
      <c r="P42" s="1"/>
    </row>
    <row r="43" spans="2:39" ht="15.75">
      <c r="B43" s="103"/>
      <c r="C43" s="60"/>
      <c r="D43" s="393"/>
      <c r="E43" s="393"/>
      <c r="F43" s="393"/>
      <c r="G43" s="393"/>
      <c r="H43" s="393"/>
      <c r="I43" s="393"/>
      <c r="J43" s="393"/>
      <c r="K43" s="393"/>
      <c r="L43" s="393"/>
      <c r="M43" s="393"/>
      <c r="N43" s="393"/>
      <c r="O43" s="393"/>
    </row>
    <row r="44" spans="2:39" ht="15.75" customHeight="1">
      <c r="B44" s="103"/>
      <c r="C44" s="575" t="str">
        <f>IFERROR(IF(AND(1-('Mon Entreprise'!M122+'Mon Entreprise'!M124)/('Mon Entreprise'!I122+'Mon Entreprise'!I124)&gt;=0.5,OR('Mes Aides'!AB199="OUI",'Mes Aides'!AB200="OUI",'Mes Aides'!AB201="OUI",'Mes Aides'!AB202=TRUE)),"L'entreprises fait l’objet d’une interdiction d’accueil du public ou appartenant aux secteurs mentionnés en annexe 1, 2 (S1 et S1 bis), 3"&amp;" ou ayant au moins un de leurs magasins de vente situé dans un centre commercial de plus de 20 000 m2, faisant l’objet d’une interdiction d’accueil du public. Elle doit également répondre aux conditions suivantes :","L'entreprises ne fait pas l’objet d’une interdiction d’accueil du public ou appartenant aux secteurs mentionnés en annexe 1 et 2 (S1 et S1 bis) "&amp;"ou ayant au moins un de leurs magasins de vente situé dans un centre commercial de plus de 20 000 m2, faisant l’objet d’une interdiction d’accueil du public."),"L'onglet 'Mon entreprise' n'a pas été entièrement complété.")</f>
        <v>L'onglet 'Mon entreprise' n'a pas été entièrement complété.</v>
      </c>
      <c r="D44" s="575"/>
      <c r="E44" s="575"/>
      <c r="F44" s="575"/>
      <c r="G44" s="575"/>
      <c r="H44" s="575"/>
      <c r="I44" s="575"/>
      <c r="J44" s="575"/>
      <c r="K44" s="575"/>
      <c r="L44" s="575"/>
      <c r="M44" s="575"/>
      <c r="N44" s="575"/>
      <c r="O44" s="575"/>
      <c r="P44" s="575"/>
      <c r="S44" s="6"/>
      <c r="Y44" s="6"/>
      <c r="AE44" s="6"/>
    </row>
    <row r="45" spans="2:39" ht="15" customHeight="1">
      <c r="C45" s="575"/>
      <c r="D45" s="575"/>
      <c r="E45" s="575"/>
      <c r="F45" s="575"/>
      <c r="G45" s="575"/>
      <c r="H45" s="575"/>
      <c r="I45" s="575"/>
      <c r="J45" s="575"/>
      <c r="K45" s="575"/>
      <c r="L45" s="575"/>
      <c r="M45" s="575"/>
      <c r="N45" s="575"/>
      <c r="O45" s="575"/>
      <c r="P45" s="575"/>
    </row>
    <row r="46" spans="2:39" ht="15" customHeight="1">
      <c r="C46" s="575"/>
      <c r="D46" s="575"/>
      <c r="E46" s="575"/>
      <c r="F46" s="575"/>
      <c r="G46" s="575"/>
      <c r="H46" s="575"/>
      <c r="I46" s="575"/>
      <c r="J46" s="575"/>
      <c r="K46" s="575"/>
      <c r="L46" s="575"/>
      <c r="M46" s="575"/>
      <c r="N46" s="575"/>
      <c r="O46" s="575"/>
      <c r="P46" s="575"/>
    </row>
    <row r="47" spans="2:39">
      <c r="C47" s="282" t="str">
        <f>IF('Mon Entreprise'!K8&lt;=Annexes!O14,"þ","ý")</f>
        <v>þ</v>
      </c>
      <c r="D47" s="283" t="s">
        <v>360</v>
      </c>
      <c r="E47" s="40"/>
    </row>
    <row r="48" spans="2:39">
      <c r="C48" s="282" t="str">
        <f>IF('Mes Aides'!AB198&gt;=0.1,"þ","ý")</f>
        <v>ý</v>
      </c>
      <c r="D48" s="283" t="s">
        <v>363</v>
      </c>
      <c r="E48" s="40"/>
    </row>
    <row r="49" spans="2:16">
      <c r="C49" s="282" t="str">
        <f>IF(OR('Mon Entreprise'!I96&gt;=12000000,'Mon Entreprise'!I122&gt;=1000000,Q16&gt;=12000000),"þ","ý")</f>
        <v>ý</v>
      </c>
      <c r="D49" s="283" t="s">
        <v>364</v>
      </c>
      <c r="E49" s="40"/>
    </row>
    <row r="50" spans="2:16">
      <c r="C50" s="282" t="str">
        <f>IF('Mes Aides'!AB190&gt;=0.5,"þ","ý")</f>
        <v>ý</v>
      </c>
      <c r="D50" s="283" t="s">
        <v>365</v>
      </c>
      <c r="E50" s="40"/>
    </row>
    <row r="51" spans="2:16">
      <c r="C51" s="282" t="str">
        <f>IF((G35+J35)/2&lt;0,"þ","ý")</f>
        <v>ý</v>
      </c>
      <c r="D51" s="283" t="s">
        <v>414</v>
      </c>
      <c r="E51" s="40"/>
    </row>
    <row r="53" spans="2:16" ht="15" customHeight="1">
      <c r="C53" s="576" t="str">
        <f>IF(AND(C47=AJ23,C48=AJ23,C49=AJ23,C50=AJ23,C51=AJ23),"L'entreprise remplie l'ensemble des conditions pour obtenir l'aide exceptionnelle pour la prise en charge des coûts fixes.",IF(AND(C47=AJ23,C51=AJ23,OR(C48=AJ24,C49=AJ24,C50=AJ24),AND(Annexes!V6&gt;=Annexes!X6,Annexes!V6&lt;=Annexes!X7)),"L'entreprise ne remplie pas les conditions de CA mais fait partie des entreprises des secteurs sans critères pour obtenir l'aide exceptionnelle pour la prise en charge des coûts fixes.",IF(AND(OR(C47=AJ24,C51=AJ24),AND(Annexes!V6&gt;=Annexes!X6,Annexes!V6&lt;=Annexes!X7)),"L'entreprise fait partie des secteurs sans critère pour obtenir l'aide, mais elle ne remplie pas les deux autres conditions pour obtenir l'aide exceptionnelle pour la prise en charge des coûts fixes.","L'entreprise ne remplie pas l'ensemble des conditions pour obtenir l'aide exceptionnelle pour la prise en charge des coûts fixes.")))</f>
        <v>L'entreprise ne remplie pas l'ensemble des conditions pour obtenir l'aide exceptionnelle pour la prise en charge des coûts fixes.</v>
      </c>
      <c r="D53" s="576"/>
      <c r="E53" s="576"/>
      <c r="F53" s="576"/>
      <c r="G53" s="576"/>
      <c r="H53" s="576"/>
      <c r="I53" s="576"/>
      <c r="J53" s="576"/>
      <c r="K53" s="576"/>
      <c r="L53" s="576"/>
      <c r="M53" s="576"/>
      <c r="N53" s="576"/>
      <c r="O53" s="576"/>
      <c r="P53" s="576"/>
    </row>
    <row r="54" spans="2:16">
      <c r="C54" s="576"/>
      <c r="D54" s="576"/>
      <c r="E54" s="576"/>
      <c r="F54" s="576"/>
      <c r="G54" s="576"/>
      <c r="H54" s="576"/>
      <c r="I54" s="576"/>
      <c r="J54" s="576"/>
      <c r="K54" s="576"/>
      <c r="L54" s="576"/>
      <c r="M54" s="576"/>
      <c r="N54" s="576"/>
      <c r="O54" s="576"/>
      <c r="P54" s="576"/>
    </row>
    <row r="56" spans="2:16">
      <c r="C56" s="284" t="s">
        <v>371</v>
      </c>
      <c r="D56" s="285"/>
    </row>
    <row r="57" spans="2:16" ht="15.75" thickBot="1"/>
    <row r="58" spans="2:16" ht="15" customHeight="1">
      <c r="C58" s="577" t="str">
        <f>IFERROR(IF(AM28=0,"Vous ne pouvez pas bénéficier de l'aide, les conditions ne sont pas respectées",IF(AM28=1,IF(AND(G16&gt;=50,K16&gt;=10000000),"L'entreprise à plus de 50 salariés et un bilan total supérieur à 10 M€, le dispositif couvre 70 % des pertes d'exploitation","L'entreprise à moins de 50 salariés ou un bilan de moins de 10 M€, le dispositif couvre 90 % des pertes d'exploitation")))&amp;IF(AM28=0,". ",IF(AL28&gt;=10000000,", cependant le plafond de 10 M€ est déjà atteint pour l'année 2021. ",". ")&amp;IF(AM28=0,"","Dans votre cas, l'aide est de "&amp;ROUND(AK28,0)&amp;" €.")),"")</f>
        <v xml:space="preserve">Vous ne pouvez pas bénéficier de l'aide, les conditions ne sont pas respectées. </v>
      </c>
      <c r="D58" s="578"/>
      <c r="E58" s="578"/>
      <c r="F58" s="578"/>
      <c r="G58" s="578"/>
      <c r="H58" s="578"/>
      <c r="I58" s="578"/>
      <c r="J58" s="578"/>
      <c r="K58" s="578"/>
      <c r="L58" s="578"/>
      <c r="M58" s="578"/>
      <c r="N58" s="578"/>
      <c r="O58" s="578"/>
      <c r="P58" s="579"/>
    </row>
    <row r="59" spans="2:16" ht="15" customHeight="1">
      <c r="C59" s="580"/>
      <c r="D59" s="581"/>
      <c r="E59" s="581"/>
      <c r="F59" s="581"/>
      <c r="G59" s="581"/>
      <c r="H59" s="581"/>
      <c r="I59" s="581"/>
      <c r="J59" s="581"/>
      <c r="K59" s="581"/>
      <c r="L59" s="581"/>
      <c r="M59" s="581"/>
      <c r="N59" s="581"/>
      <c r="O59" s="581"/>
      <c r="P59" s="582"/>
    </row>
    <row r="60" spans="2:16" ht="15.75" customHeight="1" thickBot="1">
      <c r="C60" s="583"/>
      <c r="D60" s="584"/>
      <c r="E60" s="584"/>
      <c r="F60" s="584"/>
      <c r="G60" s="584"/>
      <c r="H60" s="584"/>
      <c r="I60" s="584"/>
      <c r="J60" s="584"/>
      <c r="K60" s="584"/>
      <c r="L60" s="584"/>
      <c r="M60" s="584"/>
      <c r="N60" s="584"/>
      <c r="O60" s="584"/>
      <c r="P60" s="585"/>
    </row>
    <row r="61" spans="2:16" ht="15.75">
      <c r="C61" s="395"/>
      <c r="D61" s="395"/>
      <c r="E61" s="395"/>
      <c r="F61" s="395"/>
      <c r="G61" s="395"/>
      <c r="H61" s="395"/>
      <c r="I61" s="395"/>
      <c r="J61" s="395"/>
      <c r="K61" s="395"/>
      <c r="L61" s="395"/>
      <c r="M61" s="395"/>
      <c r="N61" s="395"/>
      <c r="O61" s="395"/>
      <c r="P61" s="395"/>
    </row>
    <row r="63" spans="2:16" ht="16.5" thickBot="1">
      <c r="B63" s="220"/>
      <c r="C63" s="488" t="s">
        <v>411</v>
      </c>
      <c r="D63" s="488"/>
      <c r="E63" s="488"/>
      <c r="F63" s="488"/>
      <c r="G63" s="488"/>
      <c r="H63" s="488"/>
      <c r="I63" s="488"/>
      <c r="J63" s="221"/>
      <c r="K63" s="221"/>
      <c r="L63" s="221"/>
      <c r="M63" s="221"/>
      <c r="N63" s="221"/>
      <c r="O63" s="221"/>
      <c r="P63" s="221"/>
    </row>
    <row r="64" spans="2:16" ht="15.75">
      <c r="B64" s="63"/>
      <c r="C64" s="103"/>
      <c r="D64" s="24"/>
      <c r="E64" s="24"/>
      <c r="F64" s="24"/>
      <c r="G64" s="24"/>
      <c r="H64" s="24"/>
      <c r="I64" s="103"/>
      <c r="J64" s="1"/>
      <c r="K64" s="1"/>
      <c r="L64" s="1"/>
      <c r="M64" s="1"/>
      <c r="N64" s="1"/>
      <c r="O64" s="1"/>
      <c r="P64" s="1"/>
    </row>
    <row r="65" spans="2:16" ht="15.75">
      <c r="B65" s="103"/>
      <c r="C65" s="60"/>
      <c r="D65" s="393"/>
      <c r="E65" s="393"/>
      <c r="F65" s="393"/>
      <c r="G65" s="393"/>
      <c r="H65" s="393"/>
      <c r="I65" s="393"/>
      <c r="J65" s="393"/>
      <c r="K65" s="393"/>
      <c r="L65" s="393"/>
      <c r="M65" s="393"/>
      <c r="N65" s="393"/>
      <c r="O65" s="393"/>
    </row>
    <row r="66" spans="2:16" ht="15.75" customHeight="1">
      <c r="B66" s="103"/>
      <c r="C66" s="575" t="str">
        <f>IFERROR(IF(AND(1-('Mon Entreprise'!M122+'Mon Entreprise'!M124)/('Mon Entreprise'!I122+'Mon Entreprise'!I124)&gt;=0.5,OR('Mes Aides'!AB254="OUI",'Mes Aides'!AB255="OUI",'Mes Aides'!AB256="OUI",'Mes Aides'!AB227=TRUE)),"L'entreprises fait l’objet d’une interdiction d’accueil du public ou appartenant aux secteurs mentionnés en annexe 1 , 2 (S1 et S1 bis), 3"&amp;" ou ayant au moins un de leurs magasins de vente situé dans un centre commercial de plus de 20 000 m2, faisant l’objet d’une interdiction d’accueil du public. Elle doit également répondre aux conditions suivantes :","L'entreprises ne fait pas l’objet d’une interdiction d’accueil du public ou appartenant aux secteurs mentionnés en annexe 1 et 2 (S1 et S1 bis) "&amp;"ou ayant au moins un de leurs magasins de vente situé dans un centre commercial de plus de 20 000 m2, faisant l’objet d’une interdiction d’accueil du public."),"L'onglet 'Mon entreprise' n'a pas été entièrement complété.")</f>
        <v>L'onglet 'Mon entreprise' n'a pas été entièrement complété.</v>
      </c>
      <c r="D66" s="575"/>
      <c r="E66" s="575"/>
      <c r="F66" s="575"/>
      <c r="G66" s="575"/>
      <c r="H66" s="575"/>
      <c r="I66" s="575"/>
      <c r="J66" s="575"/>
      <c r="K66" s="575"/>
      <c r="L66" s="575"/>
      <c r="M66" s="575"/>
      <c r="N66" s="575"/>
      <c r="O66" s="575"/>
      <c r="P66" s="575"/>
    </row>
    <row r="67" spans="2:16" ht="15" customHeight="1">
      <c r="C67" s="575"/>
      <c r="D67" s="575"/>
      <c r="E67" s="575"/>
      <c r="F67" s="575"/>
      <c r="G67" s="575"/>
      <c r="H67" s="575"/>
      <c r="I67" s="575"/>
      <c r="J67" s="575"/>
      <c r="K67" s="575"/>
      <c r="L67" s="575"/>
      <c r="M67" s="575"/>
      <c r="N67" s="575"/>
      <c r="O67" s="575"/>
      <c r="P67" s="575"/>
    </row>
    <row r="68" spans="2:16" ht="15" customHeight="1">
      <c r="C68" s="575"/>
      <c r="D68" s="575"/>
      <c r="E68" s="575"/>
      <c r="F68" s="575"/>
      <c r="G68" s="575"/>
      <c r="H68" s="575"/>
      <c r="I68" s="575"/>
      <c r="J68" s="575"/>
      <c r="K68" s="575"/>
      <c r="L68" s="575"/>
      <c r="M68" s="575"/>
      <c r="N68" s="575"/>
      <c r="O68" s="575"/>
      <c r="P68" s="575"/>
    </row>
    <row r="69" spans="2:16">
      <c r="C69" s="282" t="str">
        <f>IF('Mon Entreprise'!K8&lt;=Annexes!O14,"þ","ý")</f>
        <v>þ</v>
      </c>
      <c r="D69" s="283" t="s">
        <v>360</v>
      </c>
      <c r="E69" s="40"/>
    </row>
    <row r="70" spans="2:16">
      <c r="C70" s="282" t="str">
        <f>IF('Mes Aides'!AB198&gt;=0.1,"þ","ý")</f>
        <v>ý</v>
      </c>
      <c r="D70" s="283" t="s">
        <v>363</v>
      </c>
      <c r="E70" s="40"/>
    </row>
    <row r="71" spans="2:16">
      <c r="C71" s="282" t="str">
        <f>IF(OR('Mon Entreprise'!I96&gt;=12000000,'Mon Entreprise'!I124&gt;=1000000,Q16&gt;=12000000),"þ","ý")</f>
        <v>ý</v>
      </c>
      <c r="D71" s="283" t="s">
        <v>364</v>
      </c>
      <c r="E71" s="40"/>
    </row>
    <row r="72" spans="2:16">
      <c r="C72" s="282" t="str">
        <f>IF('Mes Aides'!AB244&gt;=0.5,"þ","ý")</f>
        <v>ý</v>
      </c>
      <c r="D72" s="283" t="s">
        <v>412</v>
      </c>
      <c r="E72" s="40"/>
    </row>
    <row r="73" spans="2:16">
      <c r="C73" s="282" t="str">
        <f>IF((G35+J35)/2&lt;0,"þ","ý")</f>
        <v>ý</v>
      </c>
      <c r="D73" s="283" t="s">
        <v>413</v>
      </c>
      <c r="E73" s="40"/>
    </row>
    <row r="75" spans="2:16" ht="15" customHeight="1">
      <c r="C75" s="576" t="str">
        <f>IF(AND(C69=AJ23,C70=AJ23,C71=AJ23,C72=AJ23,C73=AJ23),"L'entreprise remplie l'ensemble des conditions pour obtenir l'aide exceptionnelle pour la prise en charge des coûts fixes.",IF(AND(C69=AJ23,C73=AJ23,OR(C70=AJ24,C71=AJ24,C72=AJ24),AND(Annexes!V6&gt;=Annexes!X6,Annexes!V6&lt;=Annexes!X7)),"L'entreprise ne remplie pas les conditions de CA mais fait partie des entreprises des secteurs sans critères pour obtenir l'aide exceptionnelle pour la prise en charge des coûts fixes.",IF(AND(OR(C69=AJ24,C73=AJ24),AND(Annexes!V6&gt;=Annexes!X6,Annexes!V6&lt;=Annexes!X7)),"L'entreprise fait partie des secteurs sans critère pour obtenir l'aide, mais elle ne remplie pas les deux autres conditions pour obtenir l'aide exceptionnelle pour la prise en charge des coûts fixes.","L'entreprise ne remplie pas l'ensemble des conditions pour obtenir l'aide exceptionnelle pour la prise en charge des coûts fixes.")))</f>
        <v>L'entreprise ne remplie pas l'ensemble des conditions pour obtenir l'aide exceptionnelle pour la prise en charge des coûts fixes.</v>
      </c>
      <c r="D75" s="576"/>
      <c r="E75" s="576"/>
      <c r="F75" s="576"/>
      <c r="G75" s="576"/>
      <c r="H75" s="576"/>
      <c r="I75" s="576"/>
      <c r="J75" s="576"/>
      <c r="K75" s="576"/>
      <c r="L75" s="576"/>
      <c r="M75" s="576"/>
      <c r="N75" s="576"/>
      <c r="O75" s="576"/>
      <c r="P75" s="576"/>
    </row>
    <row r="76" spans="2:16">
      <c r="C76" s="576"/>
      <c r="D76" s="576"/>
      <c r="E76" s="576"/>
      <c r="F76" s="576"/>
      <c r="G76" s="576"/>
      <c r="H76" s="576"/>
      <c r="I76" s="576"/>
      <c r="J76" s="576"/>
      <c r="K76" s="576"/>
      <c r="L76" s="576"/>
      <c r="M76" s="576"/>
      <c r="N76" s="576"/>
      <c r="O76" s="576"/>
      <c r="P76" s="576"/>
    </row>
    <row r="78" spans="2:16">
      <c r="C78" s="284" t="s">
        <v>371</v>
      </c>
      <c r="D78" s="285"/>
    </row>
    <row r="79" spans="2:16" ht="15.75" thickBot="1"/>
    <row r="80" spans="2:16" ht="15" customHeight="1">
      <c r="C80" s="577" t="str">
        <f>IFERROR(IF(AM29=0,"Vous ne pouvez pas bénéficier de l'aide, les conditions ne sont pas respectées",IF(AM29=1,IF(AND(G16&gt;=50,K16&gt;=10000000),"L'entreprise à plus de 50 salariés et un bilan total supérieur à 10 M€, le dispositif couvre 70 % des pertes d'exploitation","L'entreprise à moins de 50 salariés ou un bilan de moins de 10 M€, le dispositif couvre 90 % des pertes d'exploitation")))&amp;IF(AM29=0,". ",IF(AL29&gt;=10000000,", cependant le plafond de 10 M€ est déjà atteint pour l'année 2021. ",". ")&amp;IF(AM29=0,"","Dans votre cas, l'aide est de "&amp;ROUND(AK29,0)&amp;" €.")),"")</f>
        <v xml:space="preserve">Vous ne pouvez pas bénéficier de l'aide, les conditions ne sont pas respectées. </v>
      </c>
      <c r="D80" s="578"/>
      <c r="E80" s="578"/>
      <c r="F80" s="578"/>
      <c r="G80" s="578"/>
      <c r="H80" s="578"/>
      <c r="I80" s="578"/>
      <c r="J80" s="578"/>
      <c r="K80" s="578"/>
      <c r="L80" s="578"/>
      <c r="M80" s="578"/>
      <c r="N80" s="578"/>
      <c r="O80" s="578"/>
      <c r="P80" s="579"/>
    </row>
    <row r="81" spans="2:16" ht="15" customHeight="1">
      <c r="C81" s="580"/>
      <c r="D81" s="581"/>
      <c r="E81" s="581"/>
      <c r="F81" s="581"/>
      <c r="G81" s="581"/>
      <c r="H81" s="581"/>
      <c r="I81" s="581"/>
      <c r="J81" s="581"/>
      <c r="K81" s="581"/>
      <c r="L81" s="581"/>
      <c r="M81" s="581"/>
      <c r="N81" s="581"/>
      <c r="O81" s="581"/>
      <c r="P81" s="582"/>
    </row>
    <row r="82" spans="2:16" ht="15.75" customHeight="1" thickBot="1">
      <c r="C82" s="583"/>
      <c r="D82" s="584"/>
      <c r="E82" s="584"/>
      <c r="F82" s="584"/>
      <c r="G82" s="584"/>
      <c r="H82" s="584"/>
      <c r="I82" s="584"/>
      <c r="J82" s="584"/>
      <c r="K82" s="584"/>
      <c r="L82" s="584"/>
      <c r="M82" s="584"/>
      <c r="N82" s="584"/>
      <c r="O82" s="584"/>
      <c r="P82" s="585"/>
    </row>
    <row r="83" spans="2:16" ht="15.75">
      <c r="C83" s="395"/>
      <c r="D83" s="395"/>
      <c r="E83" s="395"/>
      <c r="F83" s="395"/>
      <c r="G83" s="395"/>
      <c r="H83" s="395"/>
      <c r="I83" s="395"/>
      <c r="J83" s="395"/>
      <c r="K83" s="395"/>
      <c r="L83" s="395"/>
      <c r="M83" s="395"/>
      <c r="N83" s="395"/>
      <c r="O83" s="395"/>
      <c r="P83" s="395"/>
    </row>
    <row r="85" spans="2:16" ht="16.5" thickBot="1">
      <c r="B85" s="221"/>
      <c r="C85" s="488" t="s">
        <v>416</v>
      </c>
      <c r="D85" s="488"/>
      <c r="E85" s="488"/>
      <c r="F85" s="488"/>
      <c r="G85" s="488"/>
      <c r="H85" s="488"/>
      <c r="I85" s="488"/>
      <c r="J85" s="221"/>
      <c r="K85" s="221"/>
      <c r="L85" s="221"/>
      <c r="M85" s="221"/>
      <c r="N85" s="221"/>
      <c r="O85" s="221"/>
      <c r="P85" s="221"/>
    </row>
    <row r="86" spans="2:16" ht="15.75">
      <c r="B86" s="63"/>
      <c r="C86" s="103"/>
      <c r="D86" s="24"/>
      <c r="E86" s="24"/>
      <c r="F86" s="24"/>
      <c r="G86" s="24"/>
      <c r="H86" s="24"/>
      <c r="I86" s="103"/>
      <c r="J86" s="1"/>
      <c r="K86" s="1"/>
      <c r="L86" s="1"/>
      <c r="M86" s="1"/>
      <c r="N86" s="1"/>
      <c r="O86" s="1"/>
      <c r="P86" s="1"/>
    </row>
    <row r="87" spans="2:16" ht="15.75">
      <c r="B87" s="103"/>
      <c r="C87" s="60"/>
      <c r="D87" s="393"/>
      <c r="E87" s="393"/>
      <c r="F87" s="393"/>
      <c r="G87" s="393"/>
      <c r="H87" s="393"/>
      <c r="I87" s="393"/>
      <c r="J87" s="393"/>
      <c r="K87" s="393"/>
      <c r="L87" s="393"/>
      <c r="M87" s="393"/>
      <c r="N87" s="393"/>
      <c r="O87" s="393"/>
    </row>
    <row r="88" spans="2:16" ht="15.75" customHeight="1">
      <c r="B88" s="103"/>
      <c r="C88" s="575" t="str">
        <f>IFERROR(IF(AND(1-('Mon Entreprise'!M126+'Mon Entreprise'!M128)/('Mon Entreprise'!I126+'Mon Entreprise'!I128)&gt;=0.5,OR('Mes Aides'!AB314="OUI",'Mes Aides'!AB315="OUI",'Mes Aides'!AB316="OUI",'Mes Aides'!AB317=TRUE,'Mes Aides'!AB318=TRUE)),"L'entreprises fait l’objet d’une interdiction d’accueil du public ou appartenant aux secteurs mentionnés en annexe 1, 2 (S1 et S1 bis), 3"&amp;" ou ayant au moins un de leurs magasins de vente situé dans un centre commercial de plus de 10 000 m2, faisant l’objet d’une interdiction d’accueil du public. Elle doit également répondre aux conditions suivantes :","L'entreprises ne fait pas l’objet d’une interdiction d’accueil du public ou appartenant aux secteurs mentionnés en annexe 1 et 2 (S1 et S1 bis) "&amp;"ou ayant au moins un de leurs magasins de vente situé dans un centre commercial de plus de 10 000 m2, faisant l’objet d’une interdiction d’accueil du public."),"L'onglet 'Mon entreprise' n'a pas été entièrement complété.")</f>
        <v>L'onglet 'Mon entreprise' n'a pas été entièrement complété.</v>
      </c>
      <c r="D88" s="575"/>
      <c r="E88" s="575"/>
      <c r="F88" s="575"/>
      <c r="G88" s="575"/>
      <c r="H88" s="575"/>
      <c r="I88" s="575"/>
      <c r="J88" s="575"/>
      <c r="K88" s="575"/>
      <c r="L88" s="575"/>
      <c r="M88" s="575"/>
      <c r="N88" s="575"/>
      <c r="O88" s="575"/>
      <c r="P88" s="575"/>
    </row>
    <row r="89" spans="2:16" ht="15" customHeight="1">
      <c r="C89" s="575"/>
      <c r="D89" s="575"/>
      <c r="E89" s="575"/>
      <c r="F89" s="575"/>
      <c r="G89" s="575"/>
      <c r="H89" s="575"/>
      <c r="I89" s="575"/>
      <c r="J89" s="575"/>
      <c r="K89" s="575"/>
      <c r="L89" s="575"/>
      <c r="M89" s="575"/>
      <c r="N89" s="575"/>
      <c r="O89" s="575"/>
      <c r="P89" s="575"/>
    </row>
    <row r="90" spans="2:16" ht="15" customHeight="1">
      <c r="C90" s="575"/>
      <c r="D90" s="575"/>
      <c r="E90" s="575"/>
      <c r="F90" s="575"/>
      <c r="G90" s="575"/>
      <c r="H90" s="575"/>
      <c r="I90" s="575"/>
      <c r="J90" s="575"/>
      <c r="K90" s="575"/>
      <c r="L90" s="575"/>
      <c r="M90" s="575"/>
      <c r="N90" s="575"/>
      <c r="O90" s="575"/>
      <c r="P90" s="575"/>
    </row>
    <row r="91" spans="2:16">
      <c r="C91" s="282" t="str">
        <f>IF('Mon Entreprise'!K8&lt;=Annexes!O16,"þ","ý")</f>
        <v>þ</v>
      </c>
      <c r="D91" s="283" t="s">
        <v>445</v>
      </c>
      <c r="E91" s="40"/>
    </row>
    <row r="92" spans="2:16">
      <c r="C92" s="282" t="str">
        <f>IF('Mes Aides'!AB198&gt;=0.1,"þ","ý")</f>
        <v>ý</v>
      </c>
      <c r="D92" s="283" t="s">
        <v>363</v>
      </c>
      <c r="E92" s="40"/>
    </row>
    <row r="93" spans="2:16">
      <c r="C93" s="282" t="str">
        <f>IF(OR('Mon Entreprise'!I96&gt;=12000000,'Mon Entreprise'!I126&gt;=1000000,Q16&gt;=12000000),"þ","ý")</f>
        <v>ý</v>
      </c>
      <c r="D93" s="283" t="s">
        <v>364</v>
      </c>
      <c r="E93" s="40"/>
    </row>
    <row r="94" spans="2:16">
      <c r="C94" s="282" t="str">
        <f>IF('Mes Aides'!AB304&gt;=0.5,"þ","ý")</f>
        <v>ý</v>
      </c>
      <c r="D94" s="283" t="s">
        <v>446</v>
      </c>
      <c r="E94" s="40"/>
    </row>
    <row r="95" spans="2:16">
      <c r="C95" s="282" t="str">
        <f>IF((M35+P35)/2&lt;0,"þ","ý")</f>
        <v>ý</v>
      </c>
      <c r="D95" s="283" t="s">
        <v>447</v>
      </c>
      <c r="E95" s="40"/>
    </row>
    <row r="97" spans="2:16" ht="15" customHeight="1">
      <c r="C97" s="576" t="str">
        <f>IF(AND(C91=AJ23,C92=AJ23,C93=AJ23,C94=AJ23,C95=AJ23),"L'entreprise remplie l'ensemble des conditions pour obtenir l'aide exceptionnelle pour la prise en charge des coûts fixes.",IF(AND(C91=AJ23,C95=AJ23,OR(C92=AJ24,C93=AJ24,C94=AJ24),AND(Annexes!V6&gt;=Annexes!X6,Annexes!V6&lt;=Annexes!X7)),"L'entreprise ne remplie pas les conditions de CA mais fait partie des entreprises des secteurs sans critères pour obtenir l'aide exceptionnelle pour la prise en charge des coûts fixes.",IF(AND(OR(C91=AJ24,C95=AJ24),AND(Annexes!V6&gt;=Annexes!X6,Annexes!V6&lt;=Annexes!X7)),"L'entreprise fait partie des secteurs sans critère pour obtenir l'aide, mais elle ne remplie pas les deux autres conditions pour obtenir l'aide exceptionnelle pour la prise en charge des coûts fixes.","L'entreprise ne remplie pas l'ensemble des conditions pour obtenir l'aide exceptionnelle pour la prise en charge des coûts fixes.")))</f>
        <v>L'entreprise ne remplie pas l'ensemble des conditions pour obtenir l'aide exceptionnelle pour la prise en charge des coûts fixes.</v>
      </c>
      <c r="D97" s="576"/>
      <c r="E97" s="576"/>
      <c r="F97" s="576"/>
      <c r="G97" s="576"/>
      <c r="H97" s="576"/>
      <c r="I97" s="576"/>
      <c r="J97" s="576"/>
      <c r="K97" s="576"/>
      <c r="L97" s="576"/>
      <c r="M97" s="576"/>
      <c r="N97" s="576"/>
      <c r="O97" s="576"/>
      <c r="P97" s="576"/>
    </row>
    <row r="98" spans="2:16">
      <c r="C98" s="576"/>
      <c r="D98" s="576"/>
      <c r="E98" s="576"/>
      <c r="F98" s="576"/>
      <c r="G98" s="576"/>
      <c r="H98" s="576"/>
      <c r="I98" s="576"/>
      <c r="J98" s="576"/>
      <c r="K98" s="576"/>
      <c r="L98" s="576"/>
      <c r="M98" s="576"/>
      <c r="N98" s="576"/>
      <c r="O98" s="576"/>
      <c r="P98" s="576"/>
    </row>
    <row r="100" spans="2:16">
      <c r="C100" s="284" t="s">
        <v>371</v>
      </c>
      <c r="D100" s="285"/>
    </row>
    <row r="101" spans="2:16" ht="15.75" thickBot="1"/>
    <row r="102" spans="2:16" ht="15" customHeight="1">
      <c r="C102" s="577" t="str">
        <f>IFERROR(IF(AM30=0,"Vous ne pouvez pas bénéficier de l'aide, les conditions ne sont pas respectées",IF(AM30=1,IF(AND(G16&gt;=50,K16&gt;=10000000),"L'entreprise à plus de 50 salariés et un bilan total supérieur à 10 M€, le dispositif couvre 70 % des pertes d'exploitation","L'entreprise à moins de 50 salariés ou un bilan de moins de 10 M€, le dispositif couvre 90 % des pertes d'exploitation")))&amp;IF(AM30=0,". ",IF(AL30&gt;=10000000,", cependant le plafond de 10 M€ est déjà atteint pour l'année 2021. ",". ")&amp;IF(AM30=0,"","Dans votre cas, l'aide est de "&amp;ROUND(AK30,0)&amp;" €.")),"")</f>
        <v xml:space="preserve">Vous ne pouvez pas bénéficier de l'aide, les conditions ne sont pas respectées. </v>
      </c>
      <c r="D102" s="578"/>
      <c r="E102" s="578"/>
      <c r="F102" s="578"/>
      <c r="G102" s="578"/>
      <c r="H102" s="578"/>
      <c r="I102" s="578"/>
      <c r="J102" s="578"/>
      <c r="K102" s="578"/>
      <c r="L102" s="578"/>
      <c r="M102" s="578"/>
      <c r="N102" s="578"/>
      <c r="O102" s="578"/>
      <c r="P102" s="579"/>
    </row>
    <row r="103" spans="2:16" ht="15" customHeight="1">
      <c r="C103" s="580"/>
      <c r="D103" s="581"/>
      <c r="E103" s="581"/>
      <c r="F103" s="581"/>
      <c r="G103" s="581"/>
      <c r="H103" s="581"/>
      <c r="I103" s="581"/>
      <c r="J103" s="581"/>
      <c r="K103" s="581"/>
      <c r="L103" s="581"/>
      <c r="M103" s="581"/>
      <c r="N103" s="581"/>
      <c r="O103" s="581"/>
      <c r="P103" s="582"/>
    </row>
    <row r="104" spans="2:16" ht="15.75" customHeight="1" thickBot="1">
      <c r="C104" s="583"/>
      <c r="D104" s="584"/>
      <c r="E104" s="584"/>
      <c r="F104" s="584"/>
      <c r="G104" s="584"/>
      <c r="H104" s="584"/>
      <c r="I104" s="584"/>
      <c r="J104" s="584"/>
      <c r="K104" s="584"/>
      <c r="L104" s="584"/>
      <c r="M104" s="584"/>
      <c r="N104" s="584"/>
      <c r="O104" s="584"/>
      <c r="P104" s="585"/>
    </row>
    <row r="105" spans="2:16" ht="15.75">
      <c r="C105" s="395"/>
      <c r="D105" s="395"/>
      <c r="E105" s="395"/>
      <c r="F105" s="395"/>
      <c r="G105" s="395"/>
      <c r="H105" s="395"/>
      <c r="I105" s="395"/>
      <c r="J105" s="395"/>
      <c r="K105" s="395"/>
      <c r="L105" s="395"/>
      <c r="M105" s="395"/>
      <c r="N105" s="395"/>
      <c r="O105" s="395"/>
      <c r="P105" s="395"/>
    </row>
    <row r="107" spans="2:16" ht="16.5" thickBot="1">
      <c r="B107" s="221"/>
      <c r="C107" s="488" t="s">
        <v>417</v>
      </c>
      <c r="D107" s="488"/>
      <c r="E107" s="488"/>
      <c r="F107" s="488"/>
      <c r="G107" s="488"/>
      <c r="H107" s="488"/>
      <c r="I107" s="488"/>
      <c r="J107" s="221"/>
      <c r="K107" s="221"/>
      <c r="L107" s="221"/>
      <c r="M107" s="221"/>
      <c r="N107" s="221"/>
      <c r="O107" s="221"/>
      <c r="P107" s="221"/>
    </row>
    <row r="108" spans="2:16" ht="15.75">
      <c r="B108" s="63"/>
      <c r="C108" s="103"/>
      <c r="D108" s="24"/>
      <c r="E108" s="24"/>
      <c r="F108" s="24"/>
      <c r="G108" s="24"/>
      <c r="H108" s="24"/>
      <c r="I108" s="103"/>
      <c r="J108" s="1"/>
      <c r="K108" s="1"/>
      <c r="L108" s="1"/>
      <c r="M108" s="1"/>
      <c r="N108" s="1"/>
      <c r="O108" s="1"/>
      <c r="P108" s="1"/>
    </row>
    <row r="109" spans="2:16" ht="15.75">
      <c r="B109" s="103"/>
      <c r="C109" s="60"/>
      <c r="D109" s="393"/>
      <c r="E109" s="393"/>
      <c r="F109" s="393"/>
      <c r="G109" s="393"/>
      <c r="H109" s="393"/>
      <c r="I109" s="393"/>
      <c r="J109" s="393"/>
      <c r="K109" s="393"/>
      <c r="L109" s="393"/>
      <c r="M109" s="393"/>
      <c r="N109" s="393"/>
      <c r="O109" s="393"/>
    </row>
    <row r="110" spans="2:16" ht="15.75" customHeight="1">
      <c r="B110" s="103"/>
      <c r="C110" s="575" t="str">
        <f>IFERROR(IF(AND(1-('Mon Entreprise'!M126+'Mon Entreprise'!M128)/('Mon Entreprise'!I126+'Mon Entreprise'!I128)&gt;=0.5,OR('Mes Aides'!AB378="OUI",'Mes Aides'!AB379="OUI",'Mes Aides'!AB380="OUI",'Mes Aides'!AB381=TRUE,'Mes Aides'!AB382=TRUE)),"L'entreprises fait l’objet d’une interdiction d’accueil du public ou appartenant aux secteurs mentionnés en annexe 1, 2 (S1 et S1 bis), 3"&amp;" ou ayant au moins un de leurs magasins de vente situé dans un centre commercial de plus de 10 000 m2, faisant l’objet d’une interdiction d’accueil du public. Elle doit également répondre aux conditions suivantes :","L'entreprises ne fait pas l’objet d’une interdiction d’accueil du public ou appartenant aux secteurs mentionnés en annexe 1 et 2 (S1 et S1 bis) "&amp;"ou ayant au moins un de leurs magasins de vente situé dans un centre commercial de plus de 10 000 m2, faisant l’objet d’une interdiction d’accueil du public."),"L'onglet 'Mon entreprise' n'a pas été entièrement complété.")</f>
        <v>L'onglet 'Mon entreprise' n'a pas été entièrement complété.</v>
      </c>
      <c r="D110" s="575"/>
      <c r="E110" s="575"/>
      <c r="F110" s="575"/>
      <c r="G110" s="575"/>
      <c r="H110" s="575"/>
      <c r="I110" s="575"/>
      <c r="J110" s="575"/>
      <c r="K110" s="575"/>
      <c r="L110" s="575"/>
      <c r="M110" s="575"/>
      <c r="N110" s="575"/>
      <c r="O110" s="575"/>
      <c r="P110" s="575"/>
    </row>
    <row r="111" spans="2:16" ht="15" customHeight="1">
      <c r="C111" s="575"/>
      <c r="D111" s="575"/>
      <c r="E111" s="575"/>
      <c r="F111" s="575"/>
      <c r="G111" s="575"/>
      <c r="H111" s="575"/>
      <c r="I111" s="575"/>
      <c r="J111" s="575"/>
      <c r="K111" s="575"/>
      <c r="L111" s="575"/>
      <c r="M111" s="575"/>
      <c r="N111" s="575"/>
      <c r="O111" s="575"/>
      <c r="P111" s="575"/>
    </row>
    <row r="112" spans="2:16" ht="15" customHeight="1">
      <c r="C112" s="575"/>
      <c r="D112" s="575"/>
      <c r="E112" s="575"/>
      <c r="F112" s="575"/>
      <c r="G112" s="575"/>
      <c r="H112" s="575"/>
      <c r="I112" s="575"/>
      <c r="J112" s="575"/>
      <c r="K112" s="575"/>
      <c r="L112" s="575"/>
      <c r="M112" s="575"/>
      <c r="N112" s="575"/>
      <c r="O112" s="575"/>
      <c r="P112" s="575"/>
    </row>
    <row r="113" spans="3:16">
      <c r="C113" s="282" t="str">
        <f>IF('Mon Entreprise'!K8&lt;=Annexes!O16,"þ","ý")</f>
        <v>þ</v>
      </c>
      <c r="D113" s="283" t="s">
        <v>445</v>
      </c>
      <c r="E113" s="40"/>
    </row>
    <row r="114" spans="3:16">
      <c r="C114" s="282" t="str">
        <f>IF('Mes Aides'!AB198&gt;=0.1,"þ","ý")</f>
        <v>ý</v>
      </c>
      <c r="D114" s="283" t="s">
        <v>363</v>
      </c>
      <c r="E114" s="40"/>
    </row>
    <row r="115" spans="3:16">
      <c r="C115" s="282" t="str">
        <f>IF(OR('Mon Entreprise'!I96&gt;=12000000,'Mon Entreprise'!I128&gt;=1000000,Q16&gt;=12000000),"þ","ý")</f>
        <v>ý</v>
      </c>
      <c r="D115" s="283" t="s">
        <v>364</v>
      </c>
      <c r="E115" s="40"/>
    </row>
    <row r="116" spans="3:16">
      <c r="C116" s="282" t="str">
        <f>IF('Mes Aides'!AB368&gt;=0.5,"þ","ý")</f>
        <v>ý</v>
      </c>
      <c r="D116" s="283" t="s">
        <v>448</v>
      </c>
      <c r="E116" s="40"/>
    </row>
    <row r="117" spans="3:16">
      <c r="C117" s="282" t="str">
        <f>IF((M35+P35)/2&lt;0,"þ","ý")</f>
        <v>ý</v>
      </c>
      <c r="D117" s="283" t="s">
        <v>449</v>
      </c>
      <c r="E117" s="40"/>
    </row>
    <row r="119" spans="3:16" ht="15" customHeight="1">
      <c r="C119" s="576" t="str">
        <f>IF(AND(C113=AJ23,C114=AJ23,C115=AJ23,C116=AJ23,C117=AJ23),"L'entreprise remplie l'ensemble des conditions pour obtenir l'aide exceptionnelle pour la prise en charge des coûts fixes.",IF(AND(C113=AJ23,C117=AJ23,OR(C114=AJ24,C115=AJ24,C116=AJ24),AND(Annexes!V6&gt;=Annexes!X6,Annexes!V6&lt;=Annexes!X7)),"L'entreprise ne remplie pas les conditions de CA mais fait partie des entreprises des secteurs sans critères pour obtenir l'aide exceptionnelle pour la prise en charge des coûts fixes.",IF(AND(OR(C113=AJ24,C117=AJ24),AND(Annexes!V6&gt;=Annexes!X6,Annexes!V6&lt;=Annexes!X7)),"L'entreprise fait partie des secteurs sans critère pour obtenir l'aide, mais elle ne remplie pas les deux autres conditions pour obtenir l'aide exceptionnelle pour la prise en charge des coûts fixes.","L'entreprise ne remplie pas l'ensemble des conditions pour obtenir l'aide exceptionnelle pour la prise en charge des coûts fixes.")))</f>
        <v>L'entreprise ne remplie pas l'ensemble des conditions pour obtenir l'aide exceptionnelle pour la prise en charge des coûts fixes.</v>
      </c>
      <c r="D119" s="576"/>
      <c r="E119" s="576"/>
      <c r="F119" s="576"/>
      <c r="G119" s="576"/>
      <c r="H119" s="576"/>
      <c r="I119" s="576"/>
      <c r="J119" s="576"/>
      <c r="K119" s="576"/>
      <c r="L119" s="576"/>
      <c r="M119" s="576"/>
      <c r="N119" s="576"/>
      <c r="O119" s="576"/>
      <c r="P119" s="576"/>
    </row>
    <row r="120" spans="3:16">
      <c r="C120" s="576"/>
      <c r="D120" s="576"/>
      <c r="E120" s="576"/>
      <c r="F120" s="576"/>
      <c r="G120" s="576"/>
      <c r="H120" s="576"/>
      <c r="I120" s="576"/>
      <c r="J120" s="576"/>
      <c r="K120" s="576"/>
      <c r="L120" s="576"/>
      <c r="M120" s="576"/>
      <c r="N120" s="576"/>
      <c r="O120" s="576"/>
      <c r="P120" s="576"/>
    </row>
    <row r="122" spans="3:16">
      <c r="C122" s="284" t="s">
        <v>371</v>
      </c>
      <c r="D122" s="285"/>
    </row>
    <row r="123" spans="3:16" ht="15.75" thickBot="1"/>
    <row r="124" spans="3:16" ht="15" customHeight="1">
      <c r="C124" s="577" t="str">
        <f>IFERROR(IF(AM31=0,"Vous ne pouvez pas bénéficier de l'aide, les conditions ne sont pas respectées",IF(AM31=1,IF(AND(G16&gt;=50,K16&gt;=10000000),"L'entreprise à plus de 50 salariés et un bilan total supérieur à 10 M€, le dispositif couvre 70 % des pertes d'exploitation","L'entreprise à moins de 50 salariés ou un bilan de moins de 10 M€, le dispositif couvre 90 % des pertes d'exploitation")))&amp;IF(AM31=0,". ",IF(AL31&gt;=10000000,", cependant le plafond de 10 M€ est déjà atteint pour l'année 2021. ",". ")&amp;IF(AM31=0,"","Dans votre cas, l'aide est de "&amp;ROUND(AK31,0)&amp;" €.")),"")</f>
        <v xml:space="preserve">Vous ne pouvez pas bénéficier de l'aide, les conditions ne sont pas respectées. </v>
      </c>
      <c r="D124" s="578"/>
      <c r="E124" s="578"/>
      <c r="F124" s="578"/>
      <c r="G124" s="578"/>
      <c r="H124" s="578"/>
      <c r="I124" s="578"/>
      <c r="J124" s="578"/>
      <c r="K124" s="578"/>
      <c r="L124" s="578"/>
      <c r="M124" s="578"/>
      <c r="N124" s="578"/>
      <c r="O124" s="578"/>
      <c r="P124" s="579"/>
    </row>
    <row r="125" spans="3:16" ht="15" customHeight="1">
      <c r="C125" s="580"/>
      <c r="D125" s="581"/>
      <c r="E125" s="581"/>
      <c r="F125" s="581"/>
      <c r="G125" s="581"/>
      <c r="H125" s="581"/>
      <c r="I125" s="581"/>
      <c r="J125" s="581"/>
      <c r="K125" s="581"/>
      <c r="L125" s="581"/>
      <c r="M125" s="581"/>
      <c r="N125" s="581"/>
      <c r="O125" s="581"/>
      <c r="P125" s="582"/>
    </row>
    <row r="126" spans="3:16" ht="15.75" customHeight="1" thickBot="1">
      <c r="C126" s="583"/>
      <c r="D126" s="584"/>
      <c r="E126" s="584"/>
      <c r="F126" s="584"/>
      <c r="G126" s="584"/>
      <c r="H126" s="584"/>
      <c r="I126" s="584"/>
      <c r="J126" s="584"/>
      <c r="K126" s="584"/>
      <c r="L126" s="584"/>
      <c r="M126" s="584"/>
      <c r="N126" s="584"/>
      <c r="O126" s="584"/>
      <c r="P126" s="585"/>
    </row>
    <row r="127" spans="3:16" ht="15.75">
      <c r="C127" s="395"/>
      <c r="D127" s="395"/>
      <c r="E127" s="395"/>
      <c r="F127" s="395"/>
      <c r="G127" s="395"/>
      <c r="H127" s="395"/>
      <c r="I127" s="395"/>
      <c r="J127" s="395"/>
      <c r="K127" s="395"/>
      <c r="L127" s="395"/>
      <c r="M127" s="395"/>
      <c r="N127" s="395"/>
      <c r="O127" s="395"/>
      <c r="P127" s="395"/>
    </row>
    <row r="129" spans="2:16" ht="16.5" thickBot="1">
      <c r="B129" s="220"/>
      <c r="C129" s="488" t="s">
        <v>418</v>
      </c>
      <c r="D129" s="488"/>
      <c r="E129" s="488"/>
      <c r="F129" s="488"/>
      <c r="G129" s="488"/>
      <c r="H129" s="488"/>
      <c r="I129" s="488"/>
      <c r="J129" s="221"/>
      <c r="K129" s="221"/>
      <c r="L129" s="221"/>
      <c r="M129" s="221"/>
      <c r="N129" s="221"/>
      <c r="O129" s="221"/>
      <c r="P129" s="221"/>
    </row>
    <row r="130" spans="2:16" ht="15.75">
      <c r="B130" s="63"/>
      <c r="C130" s="103"/>
      <c r="D130" s="24"/>
      <c r="E130" s="24"/>
      <c r="F130" s="24"/>
      <c r="G130" s="24"/>
      <c r="H130" s="24"/>
      <c r="I130" s="103"/>
      <c r="J130" s="1"/>
      <c r="K130" s="1"/>
      <c r="L130" s="1"/>
      <c r="M130" s="1"/>
      <c r="N130" s="1"/>
      <c r="O130" s="1"/>
      <c r="P130" s="1"/>
    </row>
    <row r="131" spans="2:16" ht="15.75">
      <c r="B131" s="103"/>
      <c r="C131" s="60"/>
      <c r="D131" s="393"/>
      <c r="E131" s="393"/>
      <c r="F131" s="393"/>
      <c r="G131" s="393"/>
      <c r="H131" s="393"/>
      <c r="I131" s="393"/>
      <c r="J131" s="393"/>
      <c r="K131" s="393"/>
      <c r="L131" s="393"/>
      <c r="M131" s="393"/>
      <c r="N131" s="393"/>
      <c r="O131" s="393"/>
    </row>
    <row r="132" spans="2:16" ht="15.75" customHeight="1">
      <c r="B132" s="103"/>
      <c r="C132" s="575" t="str">
        <f>IFERROR(IF(AND(1-('Mon Entreprise'!M130+'Mon Entreprise'!M132)/('Mon Entreprise'!I130+'Mon Entreprise'!I132)&gt;=0.5,OR('Mes Aides'!AB442="OUI",'Mes Aides'!AB443="OUI",'Mes Aides'!AB444="OUI",'Mes Aides'!AB445=TRUE,'Mes Aides'!AB446=TRUE)),"L'entreprises fait l’objet d’une interdiction d’accueil du public ou appartenant aux secteurs mentionnés en annexe 1, 2 (S1 et S1 bis), 3"&amp;" ou ayant au moins un de leurs magasins de vente situé dans un centre commercial de plus de 10 000 m2, faisant l’objet d’une interdiction d’accueil du public. Elle doit également répondre aux conditions suivantes :","L'entreprises ne fait pas l’objet d’une interdiction d’accueil du public ou appartenant aux secteurs mentionnés en annexe 1 et 2 (S1 et S1 bis) "&amp;"ou ayant au moins un de leurs magasins de vente situé dans un centre commercial de plus de 10 000 m2, faisant l’objet d’une interdiction d’accueil du public."),"L'onglet 'Mon entreprise' n'a pas été entièrement complété.")</f>
        <v>L'onglet 'Mon entreprise' n'a pas été entièrement complété.</v>
      </c>
      <c r="D132" s="575"/>
      <c r="E132" s="575"/>
      <c r="F132" s="575"/>
      <c r="G132" s="575"/>
      <c r="H132" s="575"/>
      <c r="I132" s="575"/>
      <c r="J132" s="575"/>
      <c r="K132" s="575"/>
      <c r="L132" s="575"/>
      <c r="M132" s="575"/>
      <c r="N132" s="575"/>
      <c r="O132" s="575"/>
      <c r="P132" s="575"/>
    </row>
    <row r="133" spans="2:16" ht="15" customHeight="1">
      <c r="C133" s="575"/>
      <c r="D133" s="575"/>
      <c r="E133" s="575"/>
      <c r="F133" s="575"/>
      <c r="G133" s="575"/>
      <c r="H133" s="575"/>
      <c r="I133" s="575"/>
      <c r="J133" s="575"/>
      <c r="K133" s="575"/>
      <c r="L133" s="575"/>
      <c r="M133" s="575"/>
      <c r="N133" s="575"/>
      <c r="O133" s="575"/>
      <c r="P133" s="575"/>
    </row>
    <row r="134" spans="2:16" ht="15" customHeight="1">
      <c r="C134" s="575"/>
      <c r="D134" s="575"/>
      <c r="E134" s="575"/>
      <c r="F134" s="575"/>
      <c r="G134" s="575"/>
      <c r="H134" s="575"/>
      <c r="I134" s="575"/>
      <c r="J134" s="575"/>
      <c r="K134" s="575"/>
      <c r="L134" s="575"/>
      <c r="M134" s="575"/>
      <c r="N134" s="575"/>
      <c r="O134" s="575"/>
      <c r="P134" s="575"/>
    </row>
    <row r="135" spans="2:16">
      <c r="C135" s="282" t="str">
        <f>IF('Mon Entreprise'!K8&lt;=Annexes!O19,"þ","ý")</f>
        <v>þ</v>
      </c>
      <c r="D135" s="283" t="s">
        <v>480</v>
      </c>
      <c r="E135" s="40"/>
    </row>
    <row r="136" spans="2:16">
      <c r="C136" s="282" t="str">
        <f>IF('Mes Aides'!AB198&gt;=0.1,"þ","ý")</f>
        <v>ý</v>
      </c>
      <c r="D136" s="283" t="s">
        <v>363</v>
      </c>
      <c r="E136" s="40"/>
    </row>
    <row r="137" spans="2:16">
      <c r="C137" s="282" t="str">
        <f>IF(OR('Mon Entreprise'!I96&gt;=12000000,'Mon Entreprise'!I130&gt;=1000000,Q16&gt;=12000000),"þ","ý")</f>
        <v>ý</v>
      </c>
      <c r="D137" s="283" t="s">
        <v>364</v>
      </c>
      <c r="E137" s="40"/>
    </row>
    <row r="138" spans="2:16">
      <c r="C138" s="282" t="str">
        <f>IF('Mes Aides'!AB432&gt;=0.5,"þ","ý")</f>
        <v>ý</v>
      </c>
      <c r="D138" s="283" t="s">
        <v>481</v>
      </c>
      <c r="E138" s="40"/>
    </row>
    <row r="139" spans="2:16">
      <c r="C139" s="282" t="str">
        <f>IF((S35+V35)/2&lt;0,"þ","ý")</f>
        <v>ý</v>
      </c>
      <c r="D139" s="283" t="s">
        <v>536</v>
      </c>
      <c r="E139" s="40"/>
    </row>
    <row r="141" spans="2:16" ht="15" customHeight="1">
      <c r="C141" s="576" t="str">
        <f>IF(AND(C135=AJ23,C136=AJ23,C137=AJ23,C138=AJ23,C139=AJ23),"L'entreprise remplie l'ensemble des conditions pour obtenir l'aide exceptionnelle pour la prise en charge des coûts fixes.",IF(AND(C135=AJ23,C139=AJ23,OR(C136=AJ24,C137=AJ24,C138=AJ24),AND(Annexes!V6&gt;=Annexes!X6,Annexes!V6&lt;=Annexes!X7)),"L'entreprise ne remplie pas les conditions de CA mais fait partie des entreprises des secteurs sans critères pour obtenir l'aide exceptionnelle pour la prise en charge des coûts fixes.",IF(AND(OR(C135=AJ24,C139=AJ24),AND(Annexes!V6&gt;=Annexes!X6,Annexes!V6&lt;=Annexes!X7)),"L'entreprise fait partie des secteurs sans critère pour obtenir l'aide, mais elle ne remplie pas les deux autres conditions pour obtenir l'aide exceptionnelle pour la prise en charge des coûts fixes.","L'entreprise ne remplie pas l'ensemble des conditions pour obtenir l'aide exceptionnelle pour la prise en charge des coûts fixes.")))</f>
        <v>L'entreprise ne remplie pas l'ensemble des conditions pour obtenir l'aide exceptionnelle pour la prise en charge des coûts fixes.</v>
      </c>
      <c r="D141" s="576"/>
      <c r="E141" s="576"/>
      <c r="F141" s="576"/>
      <c r="G141" s="576"/>
      <c r="H141" s="576"/>
      <c r="I141" s="576"/>
      <c r="J141" s="576"/>
      <c r="K141" s="576"/>
      <c r="L141" s="576"/>
      <c r="M141" s="576"/>
      <c r="N141" s="576"/>
      <c r="O141" s="576"/>
      <c r="P141" s="576"/>
    </row>
    <row r="142" spans="2:16">
      <c r="C142" s="576"/>
      <c r="D142" s="576"/>
      <c r="E142" s="576"/>
      <c r="F142" s="576"/>
      <c r="G142" s="576"/>
      <c r="H142" s="576"/>
      <c r="I142" s="576"/>
      <c r="J142" s="576"/>
      <c r="K142" s="576"/>
      <c r="L142" s="576"/>
      <c r="M142" s="576"/>
      <c r="N142" s="576"/>
      <c r="O142" s="576"/>
      <c r="P142" s="576"/>
    </row>
    <row r="144" spans="2:16">
      <c r="C144" s="284" t="s">
        <v>371</v>
      </c>
      <c r="D144" s="285"/>
    </row>
    <row r="145" spans="2:16" ht="15.75" thickBot="1"/>
    <row r="146" spans="2:16" ht="15" customHeight="1">
      <c r="C146" s="577" t="str">
        <f>IFERROR(IF(AM32=0,"Vous ne pouvez pas bénéficier de l'aide, les conditions ne sont pas respectées",IF(AM32=1,IF(AND(G16&gt;=50,K16&gt;=10000000),"L'entreprise à plus de 50 salariés et un bilan total supérieur à 10 M€, le dispositif couvre 70 % des pertes d'exploitation","L'entreprise à moins de 50 salariés ou un bilan de moins de 10 M€, le dispositif couvre 90 % des pertes d'exploitation")))&amp;IF(AM32=0,". ",IF(AL32&gt;=10000000,", cependant le plafond de 10 M€ est déjà atteint pour l'année 2021. ",". ")&amp;IF(AM32=0,"","Dans votre cas, l'aide est de "&amp;ROUND(AK32,0)&amp;" €.")),"")</f>
        <v xml:space="preserve">Vous ne pouvez pas bénéficier de l'aide, les conditions ne sont pas respectées. </v>
      </c>
      <c r="D146" s="578"/>
      <c r="E146" s="578"/>
      <c r="F146" s="578"/>
      <c r="G146" s="578"/>
      <c r="H146" s="578"/>
      <c r="I146" s="578"/>
      <c r="J146" s="578"/>
      <c r="K146" s="578"/>
      <c r="L146" s="578"/>
      <c r="M146" s="578"/>
      <c r="N146" s="578"/>
      <c r="O146" s="578"/>
      <c r="P146" s="579"/>
    </row>
    <row r="147" spans="2:16" ht="15" customHeight="1">
      <c r="C147" s="580"/>
      <c r="D147" s="581"/>
      <c r="E147" s="581"/>
      <c r="F147" s="581"/>
      <c r="G147" s="581"/>
      <c r="H147" s="581"/>
      <c r="I147" s="581"/>
      <c r="J147" s="581"/>
      <c r="K147" s="581"/>
      <c r="L147" s="581"/>
      <c r="M147" s="581"/>
      <c r="N147" s="581"/>
      <c r="O147" s="581"/>
      <c r="P147" s="582"/>
    </row>
    <row r="148" spans="2:16" ht="15.75" customHeight="1" thickBot="1">
      <c r="C148" s="583"/>
      <c r="D148" s="584"/>
      <c r="E148" s="584"/>
      <c r="F148" s="584"/>
      <c r="G148" s="584"/>
      <c r="H148" s="584"/>
      <c r="I148" s="584"/>
      <c r="J148" s="584"/>
      <c r="K148" s="584"/>
      <c r="L148" s="584"/>
      <c r="M148" s="584"/>
      <c r="N148" s="584"/>
      <c r="O148" s="584"/>
      <c r="P148" s="585"/>
    </row>
    <row r="149" spans="2:16" ht="15.75">
      <c r="C149" s="395"/>
      <c r="D149" s="395"/>
      <c r="E149" s="395"/>
      <c r="F149" s="395"/>
      <c r="G149" s="395"/>
      <c r="H149" s="395"/>
      <c r="I149" s="395"/>
      <c r="J149" s="395"/>
      <c r="K149" s="395"/>
      <c r="L149" s="395"/>
      <c r="M149" s="395"/>
      <c r="N149" s="395"/>
      <c r="O149" s="395"/>
      <c r="P149" s="395"/>
    </row>
    <row r="150" spans="2:16" ht="15.75">
      <c r="C150" s="395"/>
      <c r="D150" s="395"/>
      <c r="E150" s="395"/>
      <c r="F150" s="395"/>
      <c r="G150" s="395"/>
      <c r="H150" s="395"/>
      <c r="I150" s="395"/>
      <c r="J150" s="395"/>
      <c r="K150" s="395"/>
      <c r="L150" s="395"/>
      <c r="M150" s="395"/>
      <c r="N150" s="395"/>
      <c r="O150" s="395"/>
      <c r="P150" s="395"/>
    </row>
    <row r="151" spans="2:16" ht="16.5" thickBot="1">
      <c r="B151" s="220"/>
      <c r="C151" s="488" t="s">
        <v>419</v>
      </c>
      <c r="D151" s="488"/>
      <c r="E151" s="488"/>
      <c r="F151" s="488"/>
      <c r="G151" s="488"/>
      <c r="H151" s="488"/>
      <c r="I151" s="488"/>
      <c r="J151" s="221"/>
      <c r="K151" s="221"/>
      <c r="L151" s="221"/>
      <c r="M151" s="221"/>
      <c r="N151" s="221"/>
      <c r="O151" s="221"/>
      <c r="P151" s="221"/>
    </row>
    <row r="152" spans="2:16">
      <c r="B152" s="314"/>
      <c r="I152" s="314"/>
    </row>
    <row r="153" spans="2:16" ht="15.75">
      <c r="B153" s="103"/>
      <c r="C153" s="60"/>
      <c r="D153" s="393"/>
      <c r="E153" s="393"/>
      <c r="F153" s="393"/>
      <c r="G153" s="393"/>
      <c r="H153" s="393"/>
      <c r="I153" s="393"/>
      <c r="J153" s="393"/>
      <c r="K153" s="393"/>
      <c r="L153" s="393"/>
      <c r="M153" s="393"/>
      <c r="N153" s="393"/>
      <c r="O153" s="393"/>
    </row>
    <row r="154" spans="2:16" ht="15.75" customHeight="1">
      <c r="B154" s="103"/>
      <c r="C154" s="575" t="str">
        <f>IFERROR(IF(AND(1-('Mon Entreprise'!M130+'Mon Entreprise'!M132)/('Mon Entreprise'!I130+'Mon Entreprise'!I132)&gt;=0.5,OR('Mes Aides'!AB508="OUI",'Mes Aides'!AB509="OUI",'Mes Aides'!AB510="OUI",'Mes Aides'!AB511=TRUE)),"L'entreprises fait l’objet d’une interdiction d’accueil du public ou appartenant aux secteurs mentionnés en annexe 1 ou 2 (S1 et S1 bis)","L'entreprises ne fait pas l’objet d’une interdiction d’accueil du public ou appartenant aux secteurs mentionnés en annexe 1 et annexe 2 (S1 et S1 bis)"),"L'onglet 'Mon entreprise' n'a pas été entièrement complété.")</f>
        <v>L'onglet 'Mon entreprise' n'a pas été entièrement complété.</v>
      </c>
      <c r="D154" s="575"/>
      <c r="E154" s="575"/>
      <c r="F154" s="575"/>
      <c r="G154" s="575"/>
      <c r="H154" s="575"/>
      <c r="I154" s="575"/>
      <c r="J154" s="575"/>
      <c r="K154" s="575"/>
      <c r="L154" s="575"/>
      <c r="M154" s="575"/>
      <c r="N154" s="575"/>
      <c r="O154" s="575"/>
      <c r="P154" s="575"/>
    </row>
    <row r="155" spans="2:16" ht="15" customHeight="1">
      <c r="C155" s="575"/>
      <c r="D155" s="575"/>
      <c r="E155" s="575"/>
      <c r="F155" s="575"/>
      <c r="G155" s="575"/>
      <c r="H155" s="575"/>
      <c r="I155" s="575"/>
      <c r="J155" s="575"/>
      <c r="K155" s="575"/>
      <c r="L155" s="575"/>
      <c r="M155" s="575"/>
      <c r="N155" s="575"/>
      <c r="O155" s="575"/>
      <c r="P155" s="575"/>
    </row>
    <row r="156" spans="2:16" ht="15" customHeight="1">
      <c r="C156" s="575"/>
      <c r="D156" s="575"/>
      <c r="E156" s="575"/>
      <c r="F156" s="575"/>
      <c r="G156" s="575"/>
      <c r="H156" s="575"/>
      <c r="I156" s="575"/>
      <c r="J156" s="575"/>
      <c r="K156" s="575"/>
      <c r="L156" s="575"/>
      <c r="M156" s="575"/>
      <c r="N156" s="575"/>
      <c r="O156" s="575"/>
      <c r="P156" s="575"/>
    </row>
    <row r="157" spans="2:16">
      <c r="C157" s="282" t="str">
        <f>IF('Mon Entreprise'!K8&lt;=Annexes!O19,"þ","ý")</f>
        <v>þ</v>
      </c>
      <c r="D157" s="283" t="s">
        <v>480</v>
      </c>
      <c r="E157" s="40"/>
    </row>
    <row r="158" spans="2:16">
      <c r="C158" s="282" t="str">
        <f>IF('Mes Aides'!AB198&gt;=0.1,"þ","ý")</f>
        <v>ý</v>
      </c>
      <c r="D158" s="283" t="s">
        <v>363</v>
      </c>
      <c r="E158" s="40"/>
    </row>
    <row r="159" spans="2:16">
      <c r="C159" s="282" t="str">
        <f>IF(OR('Mon Entreprise'!I96&gt;=12000000,'Mon Entreprise'!I132&gt;=1000000,Q16&gt;=12000000),"þ","ý")</f>
        <v>ý</v>
      </c>
      <c r="D159" s="283" t="s">
        <v>364</v>
      </c>
      <c r="E159" s="40"/>
    </row>
    <row r="160" spans="2:16">
      <c r="C160" s="282" t="str">
        <f>IF('Mes Aides'!AB497&gt;=0.5,"þ","ý")</f>
        <v>ý</v>
      </c>
      <c r="D160" s="283" t="s">
        <v>532</v>
      </c>
      <c r="E160" s="40"/>
    </row>
    <row r="161" spans="2:16">
      <c r="C161" s="282" t="str">
        <f>IF((S35+V35)/2&lt;0,"þ","ý")</f>
        <v>ý</v>
      </c>
      <c r="D161" s="283" t="s">
        <v>537</v>
      </c>
      <c r="E161" s="40"/>
    </row>
    <row r="163" spans="2:16" ht="15" customHeight="1">
      <c r="C163" s="576" t="str">
        <f>IF(AND(C157=AJ45,C158=AJ45,C159=AJ45,C160=AJ45,C161=AJ45),"L'entreprise remplie l'ensemble des conditions pour obtenir l'aide exceptionnelle pour la prise en charge des coûts fixes.",IF(AND(C157=AJ45,C161=AJ45,OR(C158=AJ46,C159=AJ46,C160=AJ46),AND(Annexes!V6&gt;=Annexes!X6,Annexes!V6&lt;=Annexes!X7)),"L'entreprise ne remplie pas les conditions de CA mais fait partie des entreprises des secteurs sans critères pour obtenir l'aide exceptionnelle pour la prise en charge des coûts fixes.",IF(AND(OR(C157=AJ46,C161=AJ46),AND(Annexes!V6&gt;=Annexes!X6,Annexes!V6&lt;=Annexes!X7)),"L'entreprise fait partie des secteurs sans critère pour obtenir l'aide, mais elle ne remplie pas les deux autres conditions pour obtenir l'aide exceptionnelle pour la prise en charge des coûts fixes.","L'entreprise ne remplie pas l'ensemble des conditions pour obtenir l'aide exceptionnelle pour la prise en charge des coûts fixes.")))</f>
        <v>L'entreprise ne remplie pas l'ensemble des conditions pour obtenir l'aide exceptionnelle pour la prise en charge des coûts fixes.</v>
      </c>
      <c r="D163" s="576"/>
      <c r="E163" s="576"/>
      <c r="F163" s="576"/>
      <c r="G163" s="576"/>
      <c r="H163" s="576"/>
      <c r="I163" s="576"/>
      <c r="J163" s="576"/>
      <c r="K163" s="576"/>
      <c r="L163" s="576"/>
      <c r="M163" s="576"/>
      <c r="N163" s="576"/>
      <c r="O163" s="576"/>
      <c r="P163" s="576"/>
    </row>
    <row r="164" spans="2:16">
      <c r="C164" s="576"/>
      <c r="D164" s="576"/>
      <c r="E164" s="576"/>
      <c r="F164" s="576"/>
      <c r="G164" s="576"/>
      <c r="H164" s="576"/>
      <c r="I164" s="576"/>
      <c r="J164" s="576"/>
      <c r="K164" s="576"/>
      <c r="L164" s="576"/>
      <c r="M164" s="576"/>
      <c r="N164" s="576"/>
      <c r="O164" s="576"/>
      <c r="P164" s="576"/>
    </row>
    <row r="166" spans="2:16">
      <c r="C166" s="284" t="s">
        <v>371</v>
      </c>
      <c r="G166" s="285"/>
    </row>
    <row r="167" spans="2:16" ht="15.75" thickBot="1"/>
    <row r="168" spans="2:16" ht="15" customHeight="1">
      <c r="C168" s="577" t="str">
        <f>IFERROR(IF(AM33=0,"Vous ne pouvez pas bénéficier de l'aide, les conditions ne sont pas respectées",IF(AM33=1,IF(AND(G16&gt;=50,K16&gt;=10000000),"L'entreprise à plus de 50 salariés et un bilan total supérieur à 10 M€, le dispositif couvre 70 % des pertes d'exploitation","L'entreprise à moins de 50 salariés ou un bilan de moins de 10 M€, le dispositif couvre 90 % des pertes d'exploitation")))&amp;IF(AM33=0,". ",IF(AL33&gt;=10000000,", cependant le plafond de 10 M€ est déjà atteint pour l'année 2021. ",". ")&amp;IF(AM33=0,"","Dans votre cas, l'aide est de "&amp;ROUND(AK33,0)&amp;" €.")),"")</f>
        <v xml:space="preserve">Vous ne pouvez pas bénéficier de l'aide, les conditions ne sont pas respectées. </v>
      </c>
      <c r="D168" s="578"/>
      <c r="E168" s="578"/>
      <c r="F168" s="578"/>
      <c r="G168" s="578"/>
      <c r="H168" s="578"/>
      <c r="I168" s="578"/>
      <c r="J168" s="578"/>
      <c r="K168" s="578"/>
      <c r="L168" s="578"/>
      <c r="M168" s="578"/>
      <c r="N168" s="578"/>
      <c r="O168" s="578"/>
      <c r="P168" s="579"/>
    </row>
    <row r="169" spans="2:16" ht="15" customHeight="1">
      <c r="C169" s="580"/>
      <c r="D169" s="581"/>
      <c r="E169" s="581"/>
      <c r="F169" s="581"/>
      <c r="G169" s="581"/>
      <c r="H169" s="581"/>
      <c r="I169" s="581"/>
      <c r="J169" s="581"/>
      <c r="K169" s="581"/>
      <c r="L169" s="581"/>
      <c r="M169" s="581"/>
      <c r="N169" s="581"/>
      <c r="O169" s="581"/>
      <c r="P169" s="582"/>
    </row>
    <row r="170" spans="2:16" ht="15.75" customHeight="1" thickBot="1">
      <c r="C170" s="583"/>
      <c r="D170" s="584"/>
      <c r="E170" s="584"/>
      <c r="F170" s="584"/>
      <c r="G170" s="584"/>
      <c r="H170" s="584"/>
      <c r="I170" s="584"/>
      <c r="J170" s="584"/>
      <c r="K170" s="584"/>
      <c r="L170" s="584"/>
      <c r="M170" s="584"/>
      <c r="N170" s="584"/>
      <c r="O170" s="584"/>
      <c r="P170" s="585"/>
    </row>
    <row r="171" spans="2:16" ht="15.75">
      <c r="C171" s="395"/>
      <c r="D171" s="395"/>
      <c r="E171" s="395"/>
      <c r="F171" s="395"/>
      <c r="G171" s="395"/>
      <c r="H171" s="395"/>
      <c r="I171" s="395"/>
      <c r="J171" s="395"/>
      <c r="K171" s="395"/>
      <c r="L171" s="395"/>
      <c r="M171" s="395"/>
      <c r="N171" s="395"/>
      <c r="O171" s="395"/>
      <c r="P171" s="395"/>
    </row>
    <row r="172" spans="2:16">
      <c r="C172" s="315"/>
    </row>
    <row r="173" spans="2:16" ht="16.5" thickBot="1">
      <c r="B173" s="220"/>
      <c r="C173" s="488" t="s">
        <v>518</v>
      </c>
      <c r="D173" s="488"/>
      <c r="E173" s="488"/>
      <c r="F173" s="488"/>
      <c r="G173" s="488"/>
      <c r="H173" s="488"/>
      <c r="I173" s="488"/>
      <c r="J173" s="221"/>
      <c r="K173" s="221"/>
      <c r="L173" s="221"/>
      <c r="M173" s="221"/>
      <c r="N173" s="221"/>
      <c r="O173" s="221"/>
      <c r="P173" s="221"/>
    </row>
    <row r="174" spans="2:16">
      <c r="B174" s="314"/>
      <c r="I174" s="1"/>
    </row>
    <row r="175" spans="2:16" ht="15.75">
      <c r="B175" s="103"/>
      <c r="C175" s="60"/>
      <c r="D175" s="393"/>
      <c r="E175" s="393"/>
      <c r="F175" s="393"/>
      <c r="G175" s="393"/>
      <c r="H175" s="393"/>
      <c r="I175" s="393"/>
      <c r="J175" s="393"/>
      <c r="K175" s="393"/>
      <c r="L175" s="393"/>
      <c r="M175" s="393"/>
      <c r="N175" s="393"/>
      <c r="O175" s="393"/>
    </row>
    <row r="176" spans="2:16" ht="15.75" customHeight="1">
      <c r="B176" s="103"/>
      <c r="C176" s="575" t="str">
        <f>IFERROR(IF(AND(1-('Mon Entreprise'!M134+'Mon Entreprise'!M136)/('Mon Entreprise'!I134+'Mon Entreprise'!I136)&gt;=0.5,OR('Mes Aides'!AB567="OUI",'Mes Aides'!AB568="OUI",'Mes Aides'!AB569="OUI",Annexes!M38=TRUE)),"L'entreprises fait l’objet d’une interdiction d’accueil du public ou appartenant aux secteurs mentionnés en annexe 1 ou 2 (S1 et S1 bis)","L'entreprises ne fait pas l’objet d’une interdiction d’accueil du public ou appartenant aux secteurs mentionnés en annexe 1 et annexe 2 (S1 et S1 bis)"),"L'onglet 'Mon entreprise' n'a pas été entièrement complété.")</f>
        <v>L'onglet 'Mon entreprise' n'a pas été entièrement complété.</v>
      </c>
      <c r="D176" s="575"/>
      <c r="E176" s="575"/>
      <c r="F176" s="575"/>
      <c r="G176" s="575"/>
      <c r="H176" s="575"/>
      <c r="I176" s="575"/>
      <c r="J176" s="575"/>
      <c r="K176" s="575"/>
      <c r="L176" s="575"/>
      <c r="M176" s="575"/>
      <c r="N176" s="575"/>
      <c r="O176" s="575"/>
      <c r="P176" s="575"/>
    </row>
    <row r="177" spans="3:16" ht="15" customHeight="1">
      <c r="C177" s="575"/>
      <c r="D177" s="575"/>
      <c r="E177" s="575"/>
      <c r="F177" s="575"/>
      <c r="G177" s="575"/>
      <c r="H177" s="575"/>
      <c r="I177" s="575"/>
      <c r="J177" s="575"/>
      <c r="K177" s="575"/>
      <c r="L177" s="575"/>
      <c r="M177" s="575"/>
      <c r="N177" s="575"/>
      <c r="O177" s="575"/>
      <c r="P177" s="575"/>
    </row>
    <row r="178" spans="3:16" ht="15" customHeight="1">
      <c r="C178" s="575"/>
      <c r="D178" s="575"/>
      <c r="E178" s="575"/>
      <c r="F178" s="575"/>
      <c r="G178" s="575"/>
      <c r="H178" s="575"/>
      <c r="I178" s="575"/>
      <c r="J178" s="575"/>
      <c r="K178" s="575"/>
      <c r="L178" s="575"/>
      <c r="M178" s="575"/>
      <c r="N178" s="575"/>
      <c r="O178" s="575"/>
      <c r="P178" s="575"/>
    </row>
    <row r="179" spans="3:16">
      <c r="C179" s="282" t="str">
        <f>IF('Mon Entreprise'!K8&lt;=Annexes!O22,"þ","ý")</f>
        <v>þ</v>
      </c>
      <c r="D179" s="283" t="s">
        <v>541</v>
      </c>
      <c r="E179" s="40"/>
    </row>
    <row r="180" spans="3:16">
      <c r="C180" s="282" t="str">
        <f>IF(OR('Mes Aides'!AB583&gt;=1,'Mes Aides'!AB584&gt;=1,'Mes Aides'!AB585&gt;=1),"þ","ý")</f>
        <v>ý</v>
      </c>
      <c r="D180" s="283" t="s">
        <v>542</v>
      </c>
      <c r="E180" s="40"/>
    </row>
    <row r="181" spans="3:16">
      <c r="C181" s="282" t="str">
        <f>IF(OR('Mon Entreprise'!I96&gt;=12000000,'Mon Entreprise'!I132&gt;=1000000,Q16&gt;=12000000),"þ","ý")</f>
        <v>ý</v>
      </c>
      <c r="D181" s="283" t="s">
        <v>364</v>
      </c>
      <c r="E181" s="40"/>
    </row>
    <row r="182" spans="3:16">
      <c r="C182" s="282" t="str">
        <f>IF('Mes Aides'!AB555&gt;=0.5,"þ","ý")</f>
        <v>ý</v>
      </c>
      <c r="D182" s="283" t="s">
        <v>533</v>
      </c>
      <c r="E182" s="40"/>
    </row>
    <row r="183" spans="3:16">
      <c r="C183" s="282" t="str">
        <f>IF((Y35+AB35)/2&lt;0,"þ","ý")</f>
        <v>ý</v>
      </c>
      <c r="D183" s="283" t="s">
        <v>538</v>
      </c>
      <c r="E183" s="40"/>
    </row>
    <row r="185" spans="3:16" ht="15" customHeight="1">
      <c r="C185" s="576" t="str">
        <f>IF(AND(C179=AJ23,C180=AJ23,C181=AJ23,C182=AJ23,C183=AJ23),"L'entreprise remplie l'ensemble des conditions pour obtenir l'aide exceptionnelle pour la prise en charge des coûts fixes.",IF(AND(C179=AJ23,C183=AJ23,C180=AJ23,C182=AJ23,AND(Annexes!V6&gt;=Annexes!X6,Annexes!V6&lt;=Annexes!X7)),"L'entreprise ne remplie pas les conditions de CA mais fait partie des entreprises des secteurs sans critères pour obtenir l'aide exceptionnelle pour la prise en charge des coûts fixes.",IF(AND(OR(C179=AJ24,C183=AJ24,C180=AJ24,C182=AJ24),AND(Annexes!V6&gt;=Annexes!X6,Annexes!V6&lt;=Annexes!X7)),"L'entreprise fait partie des secteurs sans critère pour obtenir l'aide, mais elle ne remplie pas les deux autres conditions pour obtenir l'aide exceptionnelle pour la prise en charge des coûts fixes.","L'entreprise ne remplie pas l'ensemble des conditions pour obtenir l'aide exceptionnelle pour la prise en charge des coûts fixes.")))</f>
        <v>L'entreprise ne remplie pas l'ensemble des conditions pour obtenir l'aide exceptionnelle pour la prise en charge des coûts fixes.</v>
      </c>
      <c r="D185" s="576"/>
      <c r="E185" s="576"/>
      <c r="F185" s="576"/>
      <c r="G185" s="576"/>
      <c r="H185" s="576"/>
      <c r="I185" s="576"/>
      <c r="J185" s="576"/>
      <c r="K185" s="576"/>
      <c r="L185" s="576"/>
      <c r="M185" s="576"/>
      <c r="N185" s="576"/>
      <c r="O185" s="576"/>
      <c r="P185" s="576"/>
    </row>
    <row r="186" spans="3:16">
      <c r="C186" s="576"/>
      <c r="D186" s="576"/>
      <c r="E186" s="576"/>
      <c r="F186" s="576"/>
      <c r="G186" s="576"/>
      <c r="H186" s="576"/>
      <c r="I186" s="576"/>
      <c r="J186" s="576"/>
      <c r="K186" s="576"/>
      <c r="L186" s="576"/>
      <c r="M186" s="576"/>
      <c r="N186" s="576"/>
      <c r="O186" s="576"/>
      <c r="P186" s="576"/>
    </row>
    <row r="188" spans="3:16">
      <c r="C188" s="284" t="s">
        <v>371</v>
      </c>
      <c r="D188" s="285"/>
    </row>
    <row r="189" spans="3:16" ht="15.75" thickBot="1"/>
    <row r="190" spans="3:16" ht="15" customHeight="1">
      <c r="C190" s="577" t="str">
        <f>IFERROR(IF(AM34=0,"Vous ne pouvez pas bénéficier de l'aide, les conditions ne sont pas respectées",IF(AM34=1,IF(AND(G16&gt;=50,K16&gt;=10000000),"L'entreprise à plus de 50 salariés et un bilan total supérieur à 10 M€, le dispositif couvre 70 % des pertes d'exploitation","L'entreprise à moins de 50 salariés ou un bilan de moins de 10 M€, le dispositif couvre 90 % des pertes d'exploitation")))&amp;IF(AM34=0,". ",IF(AL34&gt;=10000000,", cependant le plafond de 10 M€ est déjà atteint pour l'année 2021. ",". ")&amp;IF(AM34=0,"","Dans votre cas, l'aide est de "&amp;ROUND(AK34,0)&amp;" €.")),"")</f>
        <v xml:space="preserve">Vous ne pouvez pas bénéficier de l'aide, les conditions ne sont pas respectées. </v>
      </c>
      <c r="D190" s="578"/>
      <c r="E190" s="578"/>
      <c r="F190" s="578"/>
      <c r="G190" s="578"/>
      <c r="H190" s="578"/>
      <c r="I190" s="578"/>
      <c r="J190" s="578"/>
      <c r="K190" s="578"/>
      <c r="L190" s="578"/>
      <c r="M190" s="578"/>
      <c r="N190" s="578"/>
      <c r="O190" s="578"/>
      <c r="P190" s="579"/>
    </row>
    <row r="191" spans="3:16" ht="15" customHeight="1">
      <c r="C191" s="580"/>
      <c r="D191" s="581"/>
      <c r="E191" s="581"/>
      <c r="F191" s="581"/>
      <c r="G191" s="581"/>
      <c r="H191" s="581"/>
      <c r="I191" s="581"/>
      <c r="J191" s="581"/>
      <c r="K191" s="581"/>
      <c r="L191" s="581"/>
      <c r="M191" s="581"/>
      <c r="N191" s="581"/>
      <c r="O191" s="581"/>
      <c r="P191" s="582"/>
    </row>
    <row r="192" spans="3:16" ht="15.75" customHeight="1" thickBot="1">
      <c r="C192" s="583"/>
      <c r="D192" s="584"/>
      <c r="E192" s="584"/>
      <c r="F192" s="584"/>
      <c r="G192" s="584"/>
      <c r="H192" s="584"/>
      <c r="I192" s="584"/>
      <c r="J192" s="584"/>
      <c r="K192" s="584"/>
      <c r="L192" s="584"/>
      <c r="M192" s="584"/>
      <c r="N192" s="584"/>
      <c r="O192" s="584"/>
      <c r="P192" s="585"/>
    </row>
    <row r="195" spans="2:16" ht="16.5" thickBot="1">
      <c r="B195" s="220"/>
      <c r="C195" s="488" t="s">
        <v>519</v>
      </c>
      <c r="D195" s="488"/>
      <c r="E195" s="488"/>
      <c r="F195" s="488"/>
      <c r="G195" s="488"/>
      <c r="H195" s="488"/>
      <c r="I195" s="488"/>
      <c r="J195" s="221"/>
      <c r="K195" s="221"/>
      <c r="L195" s="221"/>
      <c r="M195" s="221"/>
      <c r="N195" s="221"/>
      <c r="O195" s="221"/>
      <c r="P195" s="221"/>
    </row>
    <row r="196" spans="2:16">
      <c r="B196" s="314"/>
      <c r="I196" s="1"/>
    </row>
    <row r="197" spans="2:16" ht="15.75">
      <c r="B197" s="103"/>
      <c r="C197" s="60"/>
      <c r="D197" s="393"/>
      <c r="E197" s="393"/>
      <c r="F197" s="393"/>
      <c r="G197" s="393"/>
      <c r="H197" s="393"/>
      <c r="I197" s="393"/>
      <c r="J197" s="393"/>
      <c r="K197" s="393"/>
      <c r="L197" s="393"/>
      <c r="M197" s="393"/>
      <c r="N197" s="393"/>
      <c r="O197" s="393"/>
    </row>
    <row r="198" spans="2:16" ht="15.75" customHeight="1">
      <c r="B198" s="103"/>
      <c r="C198" s="575" t="str">
        <f>IFERROR(IF(AND(1-('Mon Entreprise'!M134+'Mon Entreprise'!M136)/('Mon Entreprise'!I134+'Mon Entreprise'!I136)&gt;=0.5,OR('Mes Aides'!AB627="OUI",'Mes Aides'!AB628="OUI",'Mes Aides'!AB629="OUI",Annexes!M41=TRUE)),"L'entreprises fait l’objet d’une interdiction d’accueil du public ou appartenant aux secteurs mentionnés en annexe 1 ou 2 (S1 et S1 bis)","L'entreprises ne fait pas l’objet d’une interdiction d’accueil du public ou appartenant aux secteurs mentionnés en annexe 1 et annexe 2 (S1 et S1 bis)"),"L'onglet 'Mon entreprise' n'a pas été entièrement complété.")</f>
        <v>L'onglet 'Mon entreprise' n'a pas été entièrement complété.</v>
      </c>
      <c r="D198" s="575"/>
      <c r="E198" s="575"/>
      <c r="F198" s="575"/>
      <c r="G198" s="575"/>
      <c r="H198" s="575"/>
      <c r="I198" s="575"/>
      <c r="J198" s="575"/>
      <c r="K198" s="575"/>
      <c r="L198" s="575"/>
      <c r="M198" s="575"/>
      <c r="N198" s="575"/>
      <c r="O198" s="575"/>
      <c r="P198" s="575"/>
    </row>
    <row r="199" spans="2:16" ht="15" customHeight="1">
      <c r="C199" s="575"/>
      <c r="D199" s="575"/>
      <c r="E199" s="575"/>
      <c r="F199" s="575"/>
      <c r="G199" s="575"/>
      <c r="H199" s="575"/>
      <c r="I199" s="575"/>
      <c r="J199" s="575"/>
      <c r="K199" s="575"/>
      <c r="L199" s="575"/>
      <c r="M199" s="575"/>
      <c r="N199" s="575"/>
      <c r="O199" s="575"/>
      <c r="P199" s="575"/>
    </row>
    <row r="200" spans="2:16" ht="15" customHeight="1">
      <c r="C200" s="575"/>
      <c r="D200" s="575"/>
      <c r="E200" s="575"/>
      <c r="F200" s="575"/>
      <c r="G200" s="575"/>
      <c r="H200" s="575"/>
      <c r="I200" s="575"/>
      <c r="J200" s="575"/>
      <c r="K200" s="575"/>
      <c r="L200" s="575"/>
      <c r="M200" s="575"/>
      <c r="N200" s="575"/>
      <c r="O200" s="575"/>
      <c r="P200" s="575"/>
    </row>
    <row r="201" spans="2:16">
      <c r="C201" s="282" t="str">
        <f>IF('Mon Entreprise'!K8&lt;=Annexes!O22,"þ","ý")</f>
        <v>þ</v>
      </c>
      <c r="D201" s="283" t="s">
        <v>541</v>
      </c>
      <c r="E201" s="40"/>
    </row>
    <row r="202" spans="2:16">
      <c r="C202" s="282" t="str">
        <f>IF(OR('Mes Aides'!AB645&gt;=1,'Mes Aides'!AB646&gt;=1,'Mes Aides'!AB647&gt;=1),"þ","ý")</f>
        <v>ý</v>
      </c>
      <c r="D202" s="283" t="s">
        <v>543</v>
      </c>
      <c r="E202" s="40"/>
    </row>
    <row r="203" spans="2:16">
      <c r="C203" s="282" t="str">
        <f>IF(OR('Mon Entreprise'!I96&gt;=12000000,'Mon Entreprise'!I136&gt;=1000000,Q16&gt;=12000000),"þ","ý")</f>
        <v>ý</v>
      </c>
      <c r="D203" s="283" t="s">
        <v>364</v>
      </c>
      <c r="E203" s="40"/>
    </row>
    <row r="204" spans="2:16">
      <c r="C204" s="282" t="str">
        <f>IF('Mes Aides'!AB615&gt;=0.5,"þ","ý")</f>
        <v>ý</v>
      </c>
      <c r="D204" s="283" t="s">
        <v>534</v>
      </c>
      <c r="E204" s="40"/>
    </row>
    <row r="205" spans="2:16">
      <c r="C205" s="282" t="str">
        <f>IF((Y35+AB35)/2&lt;0,"þ","ý")</f>
        <v>ý</v>
      </c>
      <c r="D205" s="283" t="s">
        <v>539</v>
      </c>
      <c r="E205" s="40"/>
    </row>
    <row r="207" spans="2:16" ht="15" customHeight="1">
      <c r="C207" s="576" t="str">
        <f>IF(AND(C201=AJ23,C202=AJ23,C203=AJ23,C204=AJ23,C205=AJ23),"L'entreprise remplie l'ensemble des conditions pour obtenir l'aide exceptionnelle pour la prise en charge des coûts fixes.",IF(AND(C201=AJ23,C205=AJ23,C202=AJ23,C204=AJ23,AND(Annexes!V6&gt;=Annexes!X6,Annexes!V6&lt;=Annexes!X7)),"L'entreprise ne remplie pas les conditions de CA mais fait partie des entreprises des secteurs sans critères pour obtenir l'aide exceptionnelle pour la prise en charge des coûts fixes.",IF(AND(OR(C201=AJ24,C205=AJ24,C202=AJ24,C204=AJ24),AND(Annexes!V6&gt;=Annexes!X6,Annexes!V6&lt;=Annexes!X7)),"L'entreprise fait partie des secteurs sans critère pour obtenir l'aide, mais elle ne remplie pas les autres conditions pour obtenir l'aide exceptionnelle pour la prise en charge des coûts fixes.","L'entreprise ne remplie pas l'ensemble des conditions pour obtenir l'aide exceptionnelle pour la prise en charge des coûts fixes.")))</f>
        <v>L'entreprise ne remplie pas l'ensemble des conditions pour obtenir l'aide exceptionnelle pour la prise en charge des coûts fixes.</v>
      </c>
      <c r="D207" s="576"/>
      <c r="E207" s="576"/>
      <c r="F207" s="576"/>
      <c r="G207" s="576"/>
      <c r="H207" s="576"/>
      <c r="I207" s="576"/>
      <c r="J207" s="576"/>
      <c r="K207" s="576"/>
      <c r="L207" s="576"/>
      <c r="M207" s="576"/>
      <c r="N207" s="576"/>
      <c r="O207" s="576"/>
      <c r="P207" s="576"/>
    </row>
    <row r="208" spans="2:16">
      <c r="C208" s="576"/>
      <c r="D208" s="576"/>
      <c r="E208" s="576"/>
      <c r="F208" s="576"/>
      <c r="G208" s="576"/>
      <c r="H208" s="576"/>
      <c r="I208" s="576"/>
      <c r="J208" s="576"/>
      <c r="K208" s="576"/>
      <c r="L208" s="576"/>
      <c r="M208" s="576"/>
      <c r="N208" s="576"/>
      <c r="O208" s="576"/>
      <c r="P208" s="576"/>
    </row>
    <row r="210" spans="2:16">
      <c r="C210" s="284" t="s">
        <v>371</v>
      </c>
      <c r="D210" s="285"/>
    </row>
    <row r="211" spans="2:16" ht="15.75" thickBot="1"/>
    <row r="212" spans="2:16" ht="15" customHeight="1">
      <c r="C212" s="577" t="str">
        <f>IFERROR(IF(AM35=0,"Vous ne pouvez pas bénéficier de l'aide, les conditions ne sont pas respectées",IF(AM35=1,IF(AND(G16&gt;=50,K16&gt;=10000000),"L'entreprise à plus de 50 salariés et un bilan total supérieur à 10 M€, le dispositif couvre 70 % des pertes d'exploitation","L'entreprise à moins de 50 salariés ou un bilan de moins de 10 M€, le dispositif couvre 90 % des pertes d'exploitation")))&amp;IF(AM35=0,". ",IF(AL35&gt;=10000000,", cependant le plafond de 10 M€ est déjà atteint pour l'année 2021. ",". ")&amp;IF(AM35=0,"","Dans votre cas, l'aide est de "&amp;ROUND(AK35,0)&amp;" €.")),"")</f>
        <v xml:space="preserve">Vous ne pouvez pas bénéficier de l'aide, les conditions ne sont pas respectées. </v>
      </c>
      <c r="D212" s="578"/>
      <c r="E212" s="578"/>
      <c r="F212" s="578"/>
      <c r="G212" s="578"/>
      <c r="H212" s="578"/>
      <c r="I212" s="578"/>
      <c r="J212" s="578"/>
      <c r="K212" s="578"/>
      <c r="L212" s="578"/>
      <c r="M212" s="578"/>
      <c r="N212" s="578"/>
      <c r="O212" s="578"/>
      <c r="P212" s="579"/>
    </row>
    <row r="213" spans="2:16" ht="15" customHeight="1">
      <c r="C213" s="580"/>
      <c r="D213" s="581"/>
      <c r="E213" s="581"/>
      <c r="F213" s="581"/>
      <c r="G213" s="581"/>
      <c r="H213" s="581"/>
      <c r="I213" s="581"/>
      <c r="J213" s="581"/>
      <c r="K213" s="581"/>
      <c r="L213" s="581"/>
      <c r="M213" s="581"/>
      <c r="N213" s="581"/>
      <c r="O213" s="581"/>
      <c r="P213" s="582"/>
    </row>
    <row r="214" spans="2:16" ht="15.75" customHeight="1" thickBot="1">
      <c r="C214" s="583"/>
      <c r="D214" s="584"/>
      <c r="E214" s="584"/>
      <c r="F214" s="584"/>
      <c r="G214" s="584"/>
      <c r="H214" s="584"/>
      <c r="I214" s="584"/>
      <c r="J214" s="584"/>
      <c r="K214" s="584"/>
      <c r="L214" s="584"/>
      <c r="M214" s="584"/>
      <c r="N214" s="584"/>
      <c r="O214" s="584"/>
      <c r="P214" s="585"/>
    </row>
    <row r="215" spans="2:16" ht="15.75">
      <c r="C215" s="395"/>
      <c r="D215" s="395"/>
      <c r="E215" s="395"/>
      <c r="F215" s="395"/>
      <c r="G215" s="395"/>
      <c r="H215" s="395"/>
      <c r="I215" s="395"/>
      <c r="J215" s="395"/>
      <c r="K215" s="395"/>
      <c r="L215" s="395"/>
      <c r="M215" s="395"/>
      <c r="N215" s="395"/>
      <c r="O215" s="395"/>
      <c r="P215" s="395"/>
    </row>
    <row r="216" spans="2:16">
      <c r="C216" s="315"/>
    </row>
    <row r="217" spans="2:16" ht="16.5" thickBot="1">
      <c r="B217" s="220"/>
      <c r="C217" s="488" t="s">
        <v>520</v>
      </c>
      <c r="D217" s="488"/>
      <c r="E217" s="488"/>
      <c r="F217" s="488"/>
      <c r="G217" s="488"/>
      <c r="H217" s="488"/>
      <c r="I217" s="488"/>
      <c r="J217" s="221"/>
      <c r="K217" s="221"/>
      <c r="L217" s="221"/>
      <c r="M217" s="221"/>
      <c r="N217" s="221"/>
      <c r="O217" s="221"/>
      <c r="P217" s="221"/>
    </row>
    <row r="218" spans="2:16">
      <c r="B218" s="314"/>
      <c r="I218" s="1"/>
    </row>
    <row r="219" spans="2:16" ht="15.75">
      <c r="B219" s="103"/>
      <c r="C219" s="60"/>
      <c r="D219" s="393"/>
      <c r="E219" s="393"/>
      <c r="F219" s="393"/>
      <c r="G219" s="393"/>
      <c r="H219" s="393"/>
      <c r="I219" s="393"/>
      <c r="J219" s="393"/>
      <c r="K219" s="393"/>
      <c r="L219" s="393"/>
      <c r="M219" s="393"/>
      <c r="N219" s="393"/>
      <c r="O219" s="393"/>
    </row>
    <row r="220" spans="2:16" ht="15.75" customHeight="1">
      <c r="B220" s="103"/>
      <c r="C220" s="575" t="str">
        <f>IFERROR(IF(AND(1-('Mon Entreprise'!M138)/('Mon Entreprise'!I138)&gt;=0.5,OR('Mes Aides'!AB689="OUI",'Mes Aides'!AB690="OUI",'Mes Aides'!AB691="OUI",Annexes!M45=TRUE)),"L'entreprises fait l’objet d’une interdiction d’accueil du public ou appartenant aux secteurs mentionnés en annexe 1 ou 2 (S1 et S1 bis)","L'entreprises ne fait pas l’objet d’une interdiction d’accueil du public ou appartenant aux secteurs mentionnés en annexe 1 et annexe 2 (S1 et S1 bis)"),"L'onglet 'Mon entreprise' n'a pas été entièrement complété.")</f>
        <v>L'onglet 'Mon entreprise' n'a pas été entièrement complété.</v>
      </c>
      <c r="D220" s="575"/>
      <c r="E220" s="575"/>
      <c r="F220" s="575"/>
      <c r="G220" s="575"/>
      <c r="H220" s="575"/>
      <c r="I220" s="575"/>
      <c r="J220" s="575"/>
      <c r="K220" s="575"/>
      <c r="L220" s="575"/>
      <c r="M220" s="575"/>
      <c r="N220" s="575"/>
      <c r="O220" s="575"/>
      <c r="P220" s="575"/>
    </row>
    <row r="221" spans="2:16" ht="15" customHeight="1">
      <c r="C221" s="575"/>
      <c r="D221" s="575"/>
      <c r="E221" s="575"/>
      <c r="F221" s="575"/>
      <c r="G221" s="575"/>
      <c r="H221" s="575"/>
      <c r="I221" s="575"/>
      <c r="J221" s="575"/>
      <c r="K221" s="575"/>
      <c r="L221" s="575"/>
      <c r="M221" s="575"/>
      <c r="N221" s="575"/>
      <c r="O221" s="575"/>
      <c r="P221" s="575"/>
    </row>
    <row r="222" spans="2:16" ht="15" customHeight="1">
      <c r="C222" s="575"/>
      <c r="D222" s="575"/>
      <c r="E222" s="575"/>
      <c r="F222" s="575"/>
      <c r="G222" s="575"/>
      <c r="H222" s="575"/>
      <c r="I222" s="575"/>
      <c r="J222" s="575"/>
      <c r="K222" s="575"/>
      <c r="L222" s="575"/>
      <c r="M222" s="575"/>
      <c r="N222" s="575"/>
      <c r="O222" s="575"/>
      <c r="P222" s="575"/>
    </row>
    <row r="223" spans="2:16">
      <c r="C223" s="282" t="str">
        <f>IF('Mon Entreprise'!K8&lt;=Annexes!O23,"þ","ý")</f>
        <v>þ</v>
      </c>
      <c r="D223" s="283" t="s">
        <v>541</v>
      </c>
      <c r="E223" s="40"/>
    </row>
    <row r="224" spans="2:16">
      <c r="C224" s="282" t="str">
        <f>IF(OR('Mes Aides'!AB707&gt;=1,'Mes Aides'!AB708&gt;=1,'Mes Aides'!AB709&gt;=1),"þ","ý")</f>
        <v>ý</v>
      </c>
      <c r="D224" s="283" t="s">
        <v>544</v>
      </c>
      <c r="E224" s="40"/>
    </row>
    <row r="225" spans="3:16">
      <c r="C225" s="282" t="str">
        <f>IF(OR('Mon Entreprise'!I96&gt;=12000000,'Mon Entreprise'!I138&gt;=1000000,Q16&gt;=12000000),"þ","ý")</f>
        <v>ý</v>
      </c>
      <c r="D225" s="283" t="s">
        <v>364</v>
      </c>
      <c r="E225" s="40"/>
    </row>
    <row r="226" spans="3:16">
      <c r="C226" s="282" t="str">
        <f>IF('Mes Aides'!AB677&gt;=0.5,"þ","ý")</f>
        <v>ý</v>
      </c>
      <c r="D226" s="283" t="s">
        <v>535</v>
      </c>
      <c r="E226" s="40"/>
    </row>
    <row r="227" spans="3:16">
      <c r="C227" s="282" t="str">
        <f>IF((AE35)/2&lt;0,"þ","ý")</f>
        <v>ý</v>
      </c>
      <c r="D227" s="283" t="s">
        <v>540</v>
      </c>
      <c r="E227" s="40"/>
    </row>
    <row r="229" spans="3:16" ht="15" customHeight="1">
      <c r="C229" s="576" t="str">
        <f>IF(AND(C223=AJ23,C224=AJ23,C225=AJ23,C226=AJ23,C227=AJ23),"L'entreprise remplie l'ensemble des conditions pour obtenir l'aide exceptionnelle pour la prise en charge des coûts fixes.",IF(AND(C223=AJ23,C227=AJ23,C224=AJ23,C226=AJ23,AND(Annexes!V6&gt;=Annexes!X6,Annexes!V6&lt;=Annexes!X7)),"L'entreprise ne remplie pas les conditions de CA mais fait partie des entreprises des secteurs sans critères pour obtenir l'aide exceptionnelle pour la prise en charge des coûts fixes.",IF(AND(OR(C223=AJ24,C227=AJ24,C224=AJ24,C226=AJ24),AND(Annexes!V6&gt;=Annexes!X6,Annexes!V6&lt;=Annexes!X7)),"L'entreprise fait partie des secteurs sans critère pour obtenir l'aide, mais elle ne remplie pas les autres conditions pour obtenir l'aide exceptionnelle pour la prise en charge des coûts fixes.","L'entreprise ne remplie pas l'ensemble des conditions pour obtenir l'aide exceptionnelle pour la prise en charge des coûts fixes.")))</f>
        <v>L'entreprise ne remplie pas l'ensemble des conditions pour obtenir l'aide exceptionnelle pour la prise en charge des coûts fixes.</v>
      </c>
      <c r="D229" s="576"/>
      <c r="E229" s="576"/>
      <c r="F229" s="576"/>
      <c r="G229" s="576"/>
      <c r="H229" s="576"/>
      <c r="I229" s="576"/>
      <c r="J229" s="576"/>
      <c r="K229" s="576"/>
      <c r="L229" s="576"/>
      <c r="M229" s="576"/>
      <c r="N229" s="576"/>
      <c r="O229" s="576"/>
      <c r="P229" s="576"/>
    </row>
    <row r="230" spans="3:16">
      <c r="C230" s="576"/>
      <c r="D230" s="576"/>
      <c r="E230" s="576"/>
      <c r="F230" s="576"/>
      <c r="G230" s="576"/>
      <c r="H230" s="576"/>
      <c r="I230" s="576"/>
      <c r="J230" s="576"/>
      <c r="K230" s="576"/>
      <c r="L230" s="576"/>
      <c r="M230" s="576"/>
      <c r="N230" s="576"/>
      <c r="O230" s="576"/>
      <c r="P230" s="576"/>
    </row>
    <row r="232" spans="3:16">
      <c r="C232" s="284" t="s">
        <v>371</v>
      </c>
      <c r="D232" s="285"/>
    </row>
    <row r="233" spans="3:16" ht="15.75" thickBot="1"/>
    <row r="234" spans="3:16" ht="15" customHeight="1">
      <c r="C234" s="577" t="str">
        <f>IFERROR(IF(AM36=0,"Vous ne pouvez pas bénéficier de l'aide, les conditions ne sont pas respectées",IF(AM36=1,IF(AND(G16&gt;=50,K16&gt;=10000000),"L'entreprise à plus de 50 salariés et un bilan total supérieur à 10 M€, le dispositif couvre 70 % des pertes d'exploitation","L'entreprise à moins de 50 salariés ou un bilan de moins de 10 M€, le dispositif couvre 90 % des pertes d'exploitation")))&amp;IF(AM36=0,". ",IF(AL36&gt;=10000000,", cependant le plafond de 10 M€ est déjà atteint pour l'année 2021. ",". ")&amp;IF(AM36=0,"","Dans votre cas, l'aide est de "&amp;ROUND(AK36,0)&amp;" €.")),"")</f>
        <v xml:space="preserve">Vous ne pouvez pas bénéficier de l'aide, les conditions ne sont pas respectées. </v>
      </c>
      <c r="D234" s="578"/>
      <c r="E234" s="578"/>
      <c r="F234" s="578"/>
      <c r="G234" s="578"/>
      <c r="H234" s="578"/>
      <c r="I234" s="578"/>
      <c r="J234" s="578"/>
      <c r="K234" s="578"/>
      <c r="L234" s="578"/>
      <c r="M234" s="578"/>
      <c r="N234" s="578"/>
      <c r="O234" s="578"/>
      <c r="P234" s="579"/>
    </row>
    <row r="235" spans="3:16" ht="15" customHeight="1">
      <c r="C235" s="580"/>
      <c r="D235" s="581"/>
      <c r="E235" s="581"/>
      <c r="F235" s="581"/>
      <c r="G235" s="581"/>
      <c r="H235" s="581"/>
      <c r="I235" s="581"/>
      <c r="J235" s="581"/>
      <c r="K235" s="581"/>
      <c r="L235" s="581"/>
      <c r="M235" s="581"/>
      <c r="N235" s="581"/>
      <c r="O235" s="581"/>
      <c r="P235" s="582"/>
    </row>
    <row r="236" spans="3:16" ht="15.75" customHeight="1" thickBot="1">
      <c r="C236" s="583"/>
      <c r="D236" s="584"/>
      <c r="E236" s="584"/>
      <c r="F236" s="584"/>
      <c r="G236" s="584"/>
      <c r="H236" s="584"/>
      <c r="I236" s="584"/>
      <c r="J236" s="584"/>
      <c r="K236" s="584"/>
      <c r="L236" s="584"/>
      <c r="M236" s="584"/>
      <c r="N236" s="584"/>
      <c r="O236" s="584"/>
      <c r="P236" s="585"/>
    </row>
    <row r="237" spans="3:16" ht="15.75">
      <c r="C237" s="395"/>
      <c r="D237" s="395"/>
      <c r="E237" s="395"/>
      <c r="F237" s="395"/>
      <c r="G237" s="395"/>
      <c r="H237" s="395"/>
      <c r="I237" s="395"/>
      <c r="J237" s="395"/>
      <c r="K237" s="395"/>
      <c r="L237" s="395"/>
      <c r="M237" s="395"/>
      <c r="N237" s="395"/>
      <c r="O237" s="395"/>
      <c r="P237" s="395"/>
    </row>
    <row r="238" spans="3:16">
      <c r="C238" s="315"/>
    </row>
    <row r="239" spans="3:16" ht="15.75">
      <c r="C239" s="395"/>
      <c r="D239" s="395"/>
      <c r="E239" s="395"/>
      <c r="F239" s="395"/>
      <c r="G239" s="395"/>
      <c r="H239" s="395"/>
      <c r="I239" s="395"/>
      <c r="J239" s="395"/>
      <c r="K239" s="395"/>
      <c r="L239" s="395"/>
      <c r="M239" s="395"/>
      <c r="N239" s="395"/>
      <c r="O239" s="395"/>
      <c r="P239" s="395"/>
    </row>
    <row r="240" spans="3:16">
      <c r="C240" s="315"/>
    </row>
    <row r="242" spans="3:3">
      <c r="C242" s="60" t="s">
        <v>69</v>
      </c>
    </row>
  </sheetData>
  <sheetProtection password="C6BD" sheet="1" objects="1" scenarios="1"/>
  <mergeCells count="131">
    <mergeCell ref="C195:I195"/>
    <mergeCell ref="C198:P200"/>
    <mergeCell ref="C207:P208"/>
    <mergeCell ref="C212:P214"/>
    <mergeCell ref="C217:I217"/>
    <mergeCell ref="C220:P222"/>
    <mergeCell ref="C229:P230"/>
    <mergeCell ref="C234:P236"/>
    <mergeCell ref="C185:P186"/>
    <mergeCell ref="C190:P192"/>
    <mergeCell ref="AE35:AF36"/>
    <mergeCell ref="C173:I173"/>
    <mergeCell ref="C176:P178"/>
    <mergeCell ref="AE28:AF28"/>
    <mergeCell ref="AE30:AF30"/>
    <mergeCell ref="AE22:AF22"/>
    <mergeCell ref="AE24:AF24"/>
    <mergeCell ref="Y32:Z32"/>
    <mergeCell ref="AB32:AC32"/>
    <mergeCell ref="Y35:Z36"/>
    <mergeCell ref="AB35:AC36"/>
    <mergeCell ref="V35:W36"/>
    <mergeCell ref="S35:T36"/>
    <mergeCell ref="S30:T30"/>
    <mergeCell ref="S28:T28"/>
    <mergeCell ref="V22:W22"/>
    <mergeCell ref="V24:W24"/>
    <mergeCell ref="C119:P120"/>
    <mergeCell ref="C124:P126"/>
    <mergeCell ref="E35:F36"/>
    <mergeCell ref="J32:K32"/>
    <mergeCell ref="J30:K30"/>
    <mergeCell ref="M30:N30"/>
    <mergeCell ref="C63:I63"/>
    <mergeCell ref="AE20:AF20"/>
    <mergeCell ref="AE26:AF26"/>
    <mergeCell ref="AE32:AF32"/>
    <mergeCell ref="Y26:Z26"/>
    <mergeCell ref="AB26:AC26"/>
    <mergeCell ref="Y28:Z28"/>
    <mergeCell ref="AB28:AC28"/>
    <mergeCell ref="Y30:Z30"/>
    <mergeCell ref="AB30:AC30"/>
    <mergeCell ref="Y20:Z20"/>
    <mergeCell ref="AB20:AC20"/>
    <mergeCell ref="Y22:Z22"/>
    <mergeCell ref="AB22:AC22"/>
    <mergeCell ref="Y24:Z24"/>
    <mergeCell ref="AB24:AC24"/>
    <mergeCell ref="C58:P60"/>
    <mergeCell ref="J35:K36"/>
    <mergeCell ref="C102:P104"/>
    <mergeCell ref="C110:P112"/>
    <mergeCell ref="G30:H30"/>
    <mergeCell ref="G35:H36"/>
    <mergeCell ref="C132:P134"/>
    <mergeCell ref="Q16:R16"/>
    <mergeCell ref="N16:P16"/>
    <mergeCell ref="C18:G18"/>
    <mergeCell ref="C107:I107"/>
    <mergeCell ref="C129:I129"/>
    <mergeCell ref="C44:P46"/>
    <mergeCell ref="C41:I41"/>
    <mergeCell ref="C35:D36"/>
    <mergeCell ref="C22:D22"/>
    <mergeCell ref="G32:H32"/>
    <mergeCell ref="M35:N36"/>
    <mergeCell ref="C53:P54"/>
    <mergeCell ref="I16:J16"/>
    <mergeCell ref="J22:K22"/>
    <mergeCell ref="G22:H22"/>
    <mergeCell ref="P35:Q36"/>
    <mergeCell ref="V26:W26"/>
    <mergeCell ref="G20:H20"/>
    <mergeCell ref="S32:T32"/>
    <mergeCell ref="G28:H28"/>
    <mergeCell ref="J28:K28"/>
    <mergeCell ref="V20:W20"/>
    <mergeCell ref="P30:Q30"/>
    <mergeCell ref="P28:Q28"/>
    <mergeCell ref="V32:W32"/>
    <mergeCell ref="V30:W30"/>
    <mergeCell ref="V28:W28"/>
    <mergeCell ref="C16:F16"/>
    <mergeCell ref="P32:Q32"/>
    <mergeCell ref="P26:Q26"/>
    <mergeCell ref="M32:N32"/>
    <mergeCell ref="M28:N28"/>
    <mergeCell ref="M26:N26"/>
    <mergeCell ref="M24:N24"/>
    <mergeCell ref="M22:N22"/>
    <mergeCell ref="C32:D33"/>
    <mergeCell ref="C30:D31"/>
    <mergeCell ref="C28:D29"/>
    <mergeCell ref="K16:L16"/>
    <mergeCell ref="I8:K8"/>
    <mergeCell ref="L8:M8"/>
    <mergeCell ref="N8:Q8"/>
    <mergeCell ref="I2:K4"/>
    <mergeCell ref="L2:Q4"/>
    <mergeCell ref="I6:K6"/>
    <mergeCell ref="L6:Q6"/>
    <mergeCell ref="S26:T26"/>
    <mergeCell ref="C26:D27"/>
    <mergeCell ref="C24:D25"/>
    <mergeCell ref="G26:H26"/>
    <mergeCell ref="J26:K26"/>
    <mergeCell ref="G24:H24"/>
    <mergeCell ref="J24:K24"/>
    <mergeCell ref="S20:T20"/>
    <mergeCell ref="P20:Q20"/>
    <mergeCell ref="M20:N20"/>
    <mergeCell ref="J20:K20"/>
    <mergeCell ref="S24:T24"/>
    <mergeCell ref="S22:T22"/>
    <mergeCell ref="P24:Q24"/>
    <mergeCell ref="P22:Q22"/>
    <mergeCell ref="C11:W11"/>
    <mergeCell ref="C13:W14"/>
    <mergeCell ref="C66:P68"/>
    <mergeCell ref="C75:P76"/>
    <mergeCell ref="C80:P82"/>
    <mergeCell ref="C85:I85"/>
    <mergeCell ref="C88:P90"/>
    <mergeCell ref="C97:P98"/>
    <mergeCell ref="C154:P156"/>
    <mergeCell ref="C163:P164"/>
    <mergeCell ref="C168:P170"/>
    <mergeCell ref="C141:P142"/>
    <mergeCell ref="C146:P148"/>
    <mergeCell ref="C151:I151"/>
  </mergeCells>
  <conditionalFormatting sqref="AJ23">
    <cfRule type="expression" dxfId="69" priority="54">
      <formula>"$C$40=$R$39"</formula>
    </cfRule>
  </conditionalFormatting>
  <conditionalFormatting sqref="C48">
    <cfRule type="expression" dxfId="68" priority="52" stopIfTrue="1">
      <formula>"$R$38"</formula>
    </cfRule>
    <cfRule type="expression" dxfId="67" priority="53" stopIfTrue="1">
      <formula>"$R$38"</formula>
    </cfRule>
  </conditionalFormatting>
  <conditionalFormatting sqref="C70">
    <cfRule type="expression" dxfId="66" priority="47" stopIfTrue="1">
      <formula>"$R$38"</formula>
    </cfRule>
    <cfRule type="expression" dxfId="65" priority="48" stopIfTrue="1">
      <formula>"$R$38"</formula>
    </cfRule>
  </conditionalFormatting>
  <conditionalFormatting sqref="C47:C51 C69:C73">
    <cfRule type="cellIs" dxfId="64" priority="55" operator="equal">
      <formula>$AJ$23</formula>
    </cfRule>
    <cfRule type="cellIs" dxfId="63" priority="56" operator="equal">
      <formula>$AJ$24</formula>
    </cfRule>
  </conditionalFormatting>
  <conditionalFormatting sqref="C92">
    <cfRule type="expression" dxfId="62" priority="41" stopIfTrue="1">
      <formula>"$R$38"</formula>
    </cfRule>
    <cfRule type="expression" dxfId="61" priority="42" stopIfTrue="1">
      <formula>"$R$38"</formula>
    </cfRule>
  </conditionalFormatting>
  <conditionalFormatting sqref="C91:C95">
    <cfRule type="cellIs" dxfId="60" priority="43" operator="equal">
      <formula>$AJ$23</formula>
    </cfRule>
    <cfRule type="cellIs" dxfId="59" priority="44" operator="equal">
      <formula>$AJ$24</formula>
    </cfRule>
  </conditionalFormatting>
  <conditionalFormatting sqref="C114">
    <cfRule type="expression" dxfId="58" priority="37" stopIfTrue="1">
      <formula>"$R$38"</formula>
    </cfRule>
    <cfRule type="expression" dxfId="57" priority="38" stopIfTrue="1">
      <formula>"$R$38"</formula>
    </cfRule>
  </conditionalFormatting>
  <conditionalFormatting sqref="C113:C117">
    <cfRule type="cellIs" dxfId="56" priority="39" operator="equal">
      <formula>$AJ$23</formula>
    </cfRule>
    <cfRule type="cellIs" dxfId="55" priority="40" operator="equal">
      <formula>$AJ$24</formula>
    </cfRule>
  </conditionalFormatting>
  <conditionalFormatting sqref="C136">
    <cfRule type="expression" dxfId="54" priority="33" stopIfTrue="1">
      <formula>"$R$38"</formula>
    </cfRule>
    <cfRule type="expression" dxfId="53" priority="34" stopIfTrue="1">
      <formula>"$R$38"</formula>
    </cfRule>
  </conditionalFormatting>
  <conditionalFormatting sqref="C135:C139">
    <cfRule type="cellIs" dxfId="52" priority="35" operator="equal">
      <formula>$AJ$23</formula>
    </cfRule>
    <cfRule type="cellIs" dxfId="51" priority="36" operator="equal">
      <formula>$AJ$24</formula>
    </cfRule>
  </conditionalFormatting>
  <conditionalFormatting sqref="C158">
    <cfRule type="expression" dxfId="50" priority="29" stopIfTrue="1">
      <formula>"$R$38"</formula>
    </cfRule>
    <cfRule type="expression" dxfId="49" priority="30" stopIfTrue="1">
      <formula>"$R$38"</formula>
    </cfRule>
  </conditionalFormatting>
  <conditionalFormatting sqref="C157:C161">
    <cfRule type="cellIs" dxfId="48" priority="31" operator="equal">
      <formula>$AJ$23</formula>
    </cfRule>
    <cfRule type="cellIs" dxfId="47" priority="32" operator="equal">
      <formula>$AJ$24</formula>
    </cfRule>
  </conditionalFormatting>
  <conditionalFormatting sqref="C202">
    <cfRule type="expression" dxfId="46" priority="9" stopIfTrue="1">
      <formula>"$R$38"</formula>
    </cfRule>
    <cfRule type="expression" dxfId="45" priority="10" stopIfTrue="1">
      <formula>"$R$38"</formula>
    </cfRule>
  </conditionalFormatting>
  <conditionalFormatting sqref="C180">
    <cfRule type="expression" dxfId="44" priority="25" stopIfTrue="1">
      <formula>"$R$38"</formula>
    </cfRule>
    <cfRule type="expression" dxfId="43" priority="26" stopIfTrue="1">
      <formula>"$R$38"</formula>
    </cfRule>
  </conditionalFormatting>
  <conditionalFormatting sqref="C179:C183">
    <cfRule type="cellIs" dxfId="42" priority="27" operator="equal">
      <formula>$AJ$23</formula>
    </cfRule>
    <cfRule type="cellIs" dxfId="41" priority="28" operator="equal">
      <formula>$AJ$24</formula>
    </cfRule>
  </conditionalFormatting>
  <conditionalFormatting sqref="C201:C205">
    <cfRule type="cellIs" dxfId="40" priority="11" operator="equal">
      <formula>$AJ$23</formula>
    </cfRule>
    <cfRule type="cellIs" dxfId="39" priority="12" operator="equal">
      <formula>$AJ$24</formula>
    </cfRule>
  </conditionalFormatting>
  <conditionalFormatting sqref="C224">
    <cfRule type="expression" dxfId="38" priority="5" stopIfTrue="1">
      <formula>"$R$38"</formula>
    </cfRule>
    <cfRule type="expression" dxfId="37" priority="6" stopIfTrue="1">
      <formula>"$R$38"</formula>
    </cfRule>
  </conditionalFormatting>
  <conditionalFormatting sqref="C223:C227">
    <cfRule type="cellIs" dxfId="36" priority="7" operator="equal">
      <formula>$AJ$23</formula>
    </cfRule>
    <cfRule type="cellIs" dxfId="35" priority="8" operator="equal">
      <formula>$AJ$24</formula>
    </cfRule>
  </conditionalFormatting>
  <pageMargins left="0.7" right="0.7" top="0.75" bottom="0.75" header="0.3" footer="0.3"/>
  <pageSetup paperSize="9" scale="47" fitToWidth="0" fitToHeight="0"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6164" r:id="rId4" name="Drop Down 20">
              <controlPr defaultSize="0" autoLine="0" autoPict="0">
                <anchor moveWithCells="1">
                  <from>
                    <xdr:col>7</xdr:col>
                    <xdr:colOff>0</xdr:colOff>
                    <xdr:row>17</xdr:row>
                    <xdr:rowOff>0</xdr:rowOff>
                  </from>
                  <to>
                    <xdr:col>18</xdr:col>
                    <xdr:colOff>9525</xdr:colOff>
                    <xdr:row>18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2:Z141"/>
  <sheetViews>
    <sheetView workbookViewId="0">
      <selection activeCell="O23" sqref="O23"/>
    </sheetView>
  </sheetViews>
  <sheetFormatPr baseColWidth="10" defaultRowHeight="15" customHeight="1"/>
  <cols>
    <col min="1" max="1" width="11.42578125" customWidth="1"/>
    <col min="2" max="2" width="13.85546875" customWidth="1"/>
    <col min="4" max="4" width="29.85546875" style="5" customWidth="1"/>
    <col min="5" max="5" width="16.28515625" customWidth="1"/>
    <col min="6" max="6" width="5.42578125" customWidth="1"/>
    <col min="7" max="7" width="4.28515625" customWidth="1"/>
    <col min="12" max="12" width="17.85546875" bestFit="1" customWidth="1"/>
    <col min="20" max="20" width="42.7109375" customWidth="1"/>
    <col min="23" max="23" width="3.28515625" bestFit="1" customWidth="1"/>
    <col min="24" max="24" width="4.85546875" customWidth="1"/>
  </cols>
  <sheetData>
    <row r="2" spans="2:24" ht="15" customHeight="1">
      <c r="I2" t="s">
        <v>13</v>
      </c>
    </row>
    <row r="3" spans="2:24" ht="15" customHeight="1">
      <c r="B3" t="s">
        <v>0</v>
      </c>
      <c r="D3" s="5" t="s">
        <v>1</v>
      </c>
      <c r="I3" t="s">
        <v>10</v>
      </c>
      <c r="J3" t="s">
        <v>11</v>
      </c>
    </row>
    <row r="4" spans="2:24" ht="15" customHeight="1">
      <c r="B4" s="224" t="s">
        <v>39</v>
      </c>
      <c r="C4" s="224" t="s">
        <v>7</v>
      </c>
      <c r="D4" s="225" t="s">
        <v>40</v>
      </c>
      <c r="E4" t="s">
        <v>7</v>
      </c>
      <c r="I4">
        <v>0</v>
      </c>
      <c r="J4">
        <v>0</v>
      </c>
      <c r="L4" t="s">
        <v>2</v>
      </c>
      <c r="M4">
        <v>1</v>
      </c>
      <c r="O4" s="606" t="s">
        <v>103</v>
      </c>
      <c r="P4" s="606"/>
      <c r="T4" t="s">
        <v>358</v>
      </c>
    </row>
    <row r="5" spans="2:24" ht="15" customHeight="1">
      <c r="B5" s="32" t="s">
        <v>126</v>
      </c>
      <c r="C5" s="224" t="s">
        <v>7</v>
      </c>
      <c r="D5" s="226" t="s">
        <v>238</v>
      </c>
      <c r="E5" s="196" t="s">
        <v>0</v>
      </c>
      <c r="F5">
        <v>1</v>
      </c>
      <c r="G5" t="s">
        <v>105</v>
      </c>
      <c r="H5" s="195">
        <v>2</v>
      </c>
      <c r="I5">
        <v>1</v>
      </c>
      <c r="J5">
        <v>1</v>
      </c>
      <c r="O5">
        <v>1500</v>
      </c>
      <c r="P5">
        <v>0.8</v>
      </c>
      <c r="T5" t="s">
        <v>366</v>
      </c>
    </row>
    <row r="6" spans="2:24" ht="15" customHeight="1">
      <c r="B6" s="32" t="s">
        <v>127</v>
      </c>
      <c r="C6" s="224" t="s">
        <v>7</v>
      </c>
      <c r="D6" s="226" t="s">
        <v>240</v>
      </c>
      <c r="E6" s="196" t="s">
        <v>7</v>
      </c>
      <c r="G6" t="s">
        <v>106</v>
      </c>
      <c r="H6" s="195">
        <v>78</v>
      </c>
      <c r="I6">
        <v>2</v>
      </c>
      <c r="J6">
        <v>2</v>
      </c>
      <c r="L6" t="s">
        <v>3</v>
      </c>
      <c r="M6">
        <v>1</v>
      </c>
      <c r="O6">
        <v>10000</v>
      </c>
      <c r="P6">
        <v>0.6</v>
      </c>
      <c r="T6" s="279" t="s">
        <v>422</v>
      </c>
      <c r="V6">
        <v>1</v>
      </c>
      <c r="W6" t="s">
        <v>105</v>
      </c>
      <c r="X6">
        <v>2</v>
      </c>
    </row>
    <row r="7" spans="2:24" ht="15" customHeight="1">
      <c r="B7" s="32" t="s">
        <v>128</v>
      </c>
      <c r="C7" s="224" t="s">
        <v>7</v>
      </c>
      <c r="D7" s="227" t="s">
        <v>196</v>
      </c>
      <c r="E7" s="196" t="s">
        <v>1</v>
      </c>
      <c r="F7">
        <v>1</v>
      </c>
      <c r="G7" t="s">
        <v>105</v>
      </c>
      <c r="H7" s="195">
        <v>2</v>
      </c>
      <c r="I7">
        <v>3</v>
      </c>
      <c r="J7">
        <v>3</v>
      </c>
      <c r="O7">
        <v>333</v>
      </c>
      <c r="T7" s="279" t="s">
        <v>423</v>
      </c>
      <c r="W7" t="s">
        <v>106</v>
      </c>
      <c r="X7">
        <v>9</v>
      </c>
    </row>
    <row r="8" spans="2:24" ht="15" customHeight="1">
      <c r="B8" s="32" t="s">
        <v>129</v>
      </c>
      <c r="C8" s="224" t="s">
        <v>7</v>
      </c>
      <c r="D8" s="227" t="s">
        <v>197</v>
      </c>
      <c r="E8" t="s">
        <v>7</v>
      </c>
      <c r="G8" t="s">
        <v>106</v>
      </c>
      <c r="H8" s="195">
        <v>134</v>
      </c>
      <c r="I8">
        <v>4</v>
      </c>
      <c r="J8">
        <v>4</v>
      </c>
      <c r="O8">
        <v>200000</v>
      </c>
      <c r="T8" s="279" t="s">
        <v>424</v>
      </c>
    </row>
    <row r="9" spans="2:24" ht="15" customHeight="1">
      <c r="B9" s="32" t="s">
        <v>130</v>
      </c>
      <c r="C9" s="224" t="s">
        <v>7</v>
      </c>
      <c r="D9" s="227" t="s">
        <v>198</v>
      </c>
      <c r="E9" t="s">
        <v>7</v>
      </c>
      <c r="I9">
        <v>5</v>
      </c>
      <c r="J9">
        <v>5</v>
      </c>
      <c r="L9" t="s">
        <v>11</v>
      </c>
      <c r="M9" t="b">
        <v>0</v>
      </c>
      <c r="T9" s="279" t="s">
        <v>425</v>
      </c>
    </row>
    <row r="10" spans="2:24" ht="15" customHeight="1">
      <c r="B10" s="32" t="s">
        <v>131</v>
      </c>
      <c r="C10" s="224" t="s">
        <v>7</v>
      </c>
      <c r="D10" s="227" t="s">
        <v>199</v>
      </c>
      <c r="E10" t="s">
        <v>7</v>
      </c>
      <c r="I10">
        <v>6</v>
      </c>
      <c r="J10">
        <v>6</v>
      </c>
      <c r="T10" s="279" t="s">
        <v>426</v>
      </c>
    </row>
    <row r="11" spans="2:24" ht="15" customHeight="1">
      <c r="B11" s="32" t="s">
        <v>132</v>
      </c>
      <c r="C11" s="224" t="s">
        <v>7</v>
      </c>
      <c r="D11" s="226" t="s">
        <v>241</v>
      </c>
      <c r="E11" t="s">
        <v>7</v>
      </c>
      <c r="J11">
        <v>7</v>
      </c>
      <c r="L11" t="s">
        <v>91</v>
      </c>
      <c r="M11" t="b">
        <v>0</v>
      </c>
      <c r="O11" s="2">
        <v>43900</v>
      </c>
      <c r="T11" s="279" t="s">
        <v>427</v>
      </c>
    </row>
    <row r="12" spans="2:24" ht="15" customHeight="1">
      <c r="B12" s="32" t="s">
        <v>133</v>
      </c>
      <c r="C12" s="224" t="s">
        <v>7</v>
      </c>
      <c r="D12" s="226" t="s">
        <v>239</v>
      </c>
      <c r="E12" t="s">
        <v>7</v>
      </c>
      <c r="J12">
        <v>8</v>
      </c>
      <c r="O12" s="2"/>
      <c r="T12" s="279" t="s">
        <v>428</v>
      </c>
    </row>
    <row r="13" spans="2:24" ht="15" customHeight="1">
      <c r="B13" s="32" t="s">
        <v>134</v>
      </c>
      <c r="C13" s="224" t="s">
        <v>7</v>
      </c>
      <c r="D13" s="226" t="s">
        <v>242</v>
      </c>
      <c r="E13" t="s">
        <v>7</v>
      </c>
      <c r="J13">
        <v>9</v>
      </c>
      <c r="L13" t="s">
        <v>92</v>
      </c>
      <c r="M13" t="b">
        <v>0</v>
      </c>
      <c r="O13" s="2" t="s">
        <v>5</v>
      </c>
      <c r="T13" s="279" t="s">
        <v>429</v>
      </c>
    </row>
    <row r="14" spans="2:24" ht="15" customHeight="1">
      <c r="B14" s="32" t="s">
        <v>135</v>
      </c>
      <c r="C14" s="224" t="s">
        <v>7</v>
      </c>
      <c r="D14" s="226" t="s">
        <v>243</v>
      </c>
      <c r="E14" t="s">
        <v>7</v>
      </c>
      <c r="J14">
        <v>10</v>
      </c>
      <c r="O14" s="2">
        <v>43466</v>
      </c>
      <c r="Q14" s="2">
        <v>43831</v>
      </c>
      <c r="R14" s="2"/>
    </row>
    <row r="15" spans="2:24" ht="15" customHeight="1">
      <c r="B15" s="33" t="s">
        <v>136</v>
      </c>
      <c r="C15" s="224" t="s">
        <v>7</v>
      </c>
      <c r="D15" s="226" t="s">
        <v>244</v>
      </c>
      <c r="E15" t="s">
        <v>7</v>
      </c>
      <c r="J15">
        <v>11</v>
      </c>
      <c r="L15" t="s">
        <v>93</v>
      </c>
      <c r="M15" t="b">
        <v>0</v>
      </c>
      <c r="Q15" s="2">
        <v>43861</v>
      </c>
      <c r="R15" s="2">
        <v>44227</v>
      </c>
      <c r="S15" s="2"/>
    </row>
    <row r="16" spans="2:24" ht="15" customHeight="1">
      <c r="B16" s="32" t="s">
        <v>137</v>
      </c>
      <c r="C16" s="224" t="s">
        <v>7</v>
      </c>
      <c r="D16" s="227" t="s">
        <v>200</v>
      </c>
      <c r="E16" t="s">
        <v>7</v>
      </c>
      <c r="J16">
        <v>12</v>
      </c>
      <c r="O16" s="2">
        <v>43525</v>
      </c>
      <c r="Q16" s="2">
        <v>43862</v>
      </c>
      <c r="R16" s="2"/>
    </row>
    <row r="17" spans="2:19" ht="15" customHeight="1">
      <c r="B17" s="32" t="s">
        <v>138</v>
      </c>
      <c r="C17" s="224" t="s">
        <v>7</v>
      </c>
      <c r="D17" s="227" t="s">
        <v>201</v>
      </c>
      <c r="E17" t="s">
        <v>7</v>
      </c>
      <c r="J17">
        <v>13</v>
      </c>
      <c r="L17" t="s">
        <v>111</v>
      </c>
      <c r="M17" t="b">
        <v>0</v>
      </c>
      <c r="O17" s="2">
        <v>43539</v>
      </c>
      <c r="Q17" s="2">
        <v>43890</v>
      </c>
      <c r="R17" s="2"/>
    </row>
    <row r="18" spans="2:19" ht="15" customHeight="1">
      <c r="B18" s="34" t="s">
        <v>185</v>
      </c>
      <c r="C18" s="224" t="s">
        <v>7</v>
      </c>
      <c r="D18" s="227" t="s">
        <v>202</v>
      </c>
      <c r="E18" t="s">
        <v>7</v>
      </c>
      <c r="J18">
        <v>14</v>
      </c>
      <c r="Q18" s="2">
        <v>43891</v>
      </c>
      <c r="R18" s="2"/>
    </row>
    <row r="19" spans="2:19" ht="15" customHeight="1">
      <c r="B19" s="32" t="s">
        <v>139</v>
      </c>
      <c r="C19" s="224" t="s">
        <v>7</v>
      </c>
      <c r="D19" s="227" t="s">
        <v>203</v>
      </c>
      <c r="E19" t="s">
        <v>7</v>
      </c>
      <c r="J19">
        <v>15</v>
      </c>
      <c r="L19" t="s">
        <v>301</v>
      </c>
      <c r="M19" t="b">
        <v>0</v>
      </c>
      <c r="O19" s="2">
        <v>43586</v>
      </c>
      <c r="Q19" s="2">
        <v>43900</v>
      </c>
      <c r="R19" s="2"/>
    </row>
    <row r="20" spans="2:19" ht="15" customHeight="1">
      <c r="B20" s="32" t="s">
        <v>140</v>
      </c>
      <c r="C20" s="224" t="s">
        <v>7</v>
      </c>
      <c r="D20" s="227" t="s">
        <v>204</v>
      </c>
      <c r="E20" t="s">
        <v>7</v>
      </c>
      <c r="J20">
        <v>16</v>
      </c>
      <c r="O20" s="2">
        <v>43617</v>
      </c>
      <c r="Q20" s="2">
        <v>43905</v>
      </c>
      <c r="R20" s="2"/>
    </row>
    <row r="21" spans="2:19" ht="15" customHeight="1">
      <c r="B21" s="32" t="s">
        <v>141</v>
      </c>
      <c r="C21" s="224" t="s">
        <v>7</v>
      </c>
      <c r="D21" s="227" t="s">
        <v>205</v>
      </c>
      <c r="E21" t="s">
        <v>7</v>
      </c>
      <c r="J21">
        <v>17</v>
      </c>
      <c r="L21" t="s">
        <v>307</v>
      </c>
      <c r="M21" t="b">
        <v>0</v>
      </c>
      <c r="O21" s="2">
        <v>43646</v>
      </c>
      <c r="Q21" s="2">
        <v>44012</v>
      </c>
      <c r="R21" s="2"/>
      <c r="S21" s="2"/>
    </row>
    <row r="22" spans="2:19" ht="15" customHeight="1">
      <c r="B22" s="32" t="s">
        <v>142</v>
      </c>
      <c r="C22" s="224" t="s">
        <v>7</v>
      </c>
      <c r="D22" s="227" t="s">
        <v>206</v>
      </c>
      <c r="E22" t="s">
        <v>7</v>
      </c>
      <c r="J22">
        <v>18</v>
      </c>
      <c r="O22" s="2">
        <v>43647</v>
      </c>
      <c r="Q22" s="2">
        <v>44013</v>
      </c>
      <c r="R22" s="2"/>
    </row>
    <row r="23" spans="2:19" ht="15" customHeight="1">
      <c r="B23" s="32" t="s">
        <v>143</v>
      </c>
      <c r="C23" s="224" t="s">
        <v>7</v>
      </c>
      <c r="D23" s="227" t="s">
        <v>207</v>
      </c>
      <c r="E23" t="s">
        <v>7</v>
      </c>
      <c r="J23">
        <v>19</v>
      </c>
      <c r="L23" t="s">
        <v>314</v>
      </c>
      <c r="M23" t="b">
        <v>0</v>
      </c>
      <c r="O23" s="2">
        <v>43709</v>
      </c>
      <c r="Q23" s="2">
        <v>44074</v>
      </c>
      <c r="R23" s="2"/>
    </row>
    <row r="24" spans="2:19" ht="15" customHeight="1">
      <c r="B24" s="32" t="s">
        <v>144</v>
      </c>
      <c r="C24" s="224" t="s">
        <v>7</v>
      </c>
      <c r="D24" s="227" t="s">
        <v>208</v>
      </c>
      <c r="E24" t="s">
        <v>7</v>
      </c>
      <c r="J24">
        <v>20</v>
      </c>
      <c r="L24" t="s">
        <v>451</v>
      </c>
      <c r="M24" t="b">
        <v>0</v>
      </c>
      <c r="O24" s="2">
        <v>43738</v>
      </c>
      <c r="Q24" s="2">
        <v>44104</v>
      </c>
      <c r="R24" s="2"/>
    </row>
    <row r="25" spans="2:19" ht="15" customHeight="1">
      <c r="B25" s="32" t="s">
        <v>145</v>
      </c>
      <c r="C25" s="224" t="s">
        <v>7</v>
      </c>
      <c r="D25" s="227" t="s">
        <v>209</v>
      </c>
      <c r="E25" t="s">
        <v>7</v>
      </c>
      <c r="J25">
        <v>21</v>
      </c>
      <c r="Q25" s="2">
        <v>44105</v>
      </c>
      <c r="R25" s="2"/>
    </row>
    <row r="26" spans="2:19" ht="15" customHeight="1">
      <c r="B26" s="32" t="s">
        <v>146</v>
      </c>
      <c r="C26" s="224" t="s">
        <v>7</v>
      </c>
      <c r="D26" s="227" t="s">
        <v>210</v>
      </c>
      <c r="E26" t="s">
        <v>7</v>
      </c>
      <c r="J26">
        <v>22</v>
      </c>
      <c r="L26" t="s">
        <v>344</v>
      </c>
      <c r="M26" t="b">
        <v>0</v>
      </c>
      <c r="O26" s="2">
        <v>43799</v>
      </c>
      <c r="Q26" s="2">
        <v>44135</v>
      </c>
      <c r="R26" s="2"/>
    </row>
    <row r="27" spans="2:19" ht="15" customHeight="1">
      <c r="B27" s="32" t="s">
        <v>177</v>
      </c>
      <c r="C27" s="224" t="s">
        <v>7</v>
      </c>
      <c r="D27" s="227" t="s">
        <v>211</v>
      </c>
      <c r="E27" t="s">
        <v>7</v>
      </c>
      <c r="J27">
        <v>23</v>
      </c>
      <c r="L27" s="308" t="s">
        <v>385</v>
      </c>
      <c r="M27" t="b">
        <v>0</v>
      </c>
      <c r="O27" s="2">
        <v>43800</v>
      </c>
      <c r="Q27" s="2">
        <v>44165</v>
      </c>
      <c r="R27" s="2"/>
    </row>
    <row r="28" spans="2:19" ht="15" customHeight="1">
      <c r="B28" s="32" t="s">
        <v>147</v>
      </c>
      <c r="C28" s="224" t="s">
        <v>7</v>
      </c>
      <c r="D28" s="227" t="s">
        <v>212</v>
      </c>
      <c r="E28" t="s">
        <v>7</v>
      </c>
      <c r="J28">
        <v>24</v>
      </c>
      <c r="O28" s="2">
        <v>43830</v>
      </c>
      <c r="Q28" s="2">
        <v>44166</v>
      </c>
      <c r="R28" s="2"/>
    </row>
    <row r="29" spans="2:19" ht="15" customHeight="1">
      <c r="B29" s="33" t="s">
        <v>148</v>
      </c>
      <c r="C29" s="224" t="s">
        <v>7</v>
      </c>
      <c r="D29" s="227" t="s">
        <v>213</v>
      </c>
      <c r="E29" t="s">
        <v>7</v>
      </c>
      <c r="J29">
        <v>25</v>
      </c>
      <c r="L29" t="s">
        <v>345</v>
      </c>
      <c r="M29" t="b">
        <v>0</v>
      </c>
      <c r="Q29" s="2">
        <v>44196</v>
      </c>
      <c r="R29" s="2"/>
    </row>
    <row r="30" spans="2:19" ht="15" customHeight="1">
      <c r="B30" s="32" t="s">
        <v>149</v>
      </c>
      <c r="C30" s="224" t="s">
        <v>7</v>
      </c>
      <c r="D30" s="227" t="s">
        <v>214</v>
      </c>
      <c r="E30" t="s">
        <v>7</v>
      </c>
      <c r="J30">
        <v>26</v>
      </c>
      <c r="L30" s="329" t="s">
        <v>439</v>
      </c>
      <c r="M30" t="b">
        <v>0</v>
      </c>
    </row>
    <row r="31" spans="2:19" ht="15" customHeight="1">
      <c r="B31" s="32" t="s">
        <v>150</v>
      </c>
      <c r="C31" s="224" t="s">
        <v>7</v>
      </c>
      <c r="D31" s="227" t="s">
        <v>215</v>
      </c>
      <c r="E31" t="s">
        <v>7</v>
      </c>
      <c r="J31">
        <v>27</v>
      </c>
      <c r="L31" s="329"/>
    </row>
    <row r="32" spans="2:19" ht="15" customHeight="1">
      <c r="B32" s="32" t="s">
        <v>151</v>
      </c>
      <c r="C32" s="224" t="s">
        <v>7</v>
      </c>
      <c r="D32" s="227" t="s">
        <v>216</v>
      </c>
      <c r="E32" t="s">
        <v>7</v>
      </c>
      <c r="J32">
        <v>28</v>
      </c>
      <c r="L32" t="s">
        <v>346</v>
      </c>
      <c r="M32" t="b">
        <v>0</v>
      </c>
    </row>
    <row r="33" spans="2:26" ht="15" customHeight="1">
      <c r="B33" s="32" t="s">
        <v>152</v>
      </c>
      <c r="C33" s="224" t="s">
        <v>7</v>
      </c>
      <c r="D33" s="227" t="s">
        <v>217</v>
      </c>
      <c r="E33" t="s">
        <v>7</v>
      </c>
      <c r="J33">
        <v>29</v>
      </c>
      <c r="L33" s="329" t="s">
        <v>458</v>
      </c>
      <c r="M33" t="b">
        <v>0</v>
      </c>
    </row>
    <row r="34" spans="2:26" ht="15" customHeight="1">
      <c r="B34" s="32" t="s">
        <v>153</v>
      </c>
      <c r="C34" s="224" t="s">
        <v>7</v>
      </c>
      <c r="D34" s="227" t="s">
        <v>218</v>
      </c>
      <c r="E34" t="s">
        <v>7</v>
      </c>
      <c r="J34">
        <v>30</v>
      </c>
    </row>
    <row r="35" spans="2:26" ht="15" customHeight="1">
      <c r="B35" s="32" t="s">
        <v>154</v>
      </c>
      <c r="C35" s="224" t="s">
        <v>7</v>
      </c>
      <c r="D35" s="227" t="s">
        <v>219</v>
      </c>
      <c r="E35" t="s">
        <v>7</v>
      </c>
      <c r="J35">
        <v>31</v>
      </c>
      <c r="L35" t="s">
        <v>347</v>
      </c>
      <c r="M35" t="b">
        <v>0</v>
      </c>
    </row>
    <row r="36" spans="2:26" ht="15" customHeight="1">
      <c r="B36" s="32" t="s">
        <v>155</v>
      </c>
      <c r="C36" s="224" t="s">
        <v>7</v>
      </c>
      <c r="D36" s="237" t="s">
        <v>255</v>
      </c>
      <c r="E36" t="s">
        <v>7</v>
      </c>
      <c r="L36" s="329" t="s">
        <v>488</v>
      </c>
      <c r="M36" t="b">
        <v>0</v>
      </c>
    </row>
    <row r="37" spans="2:26" ht="15" customHeight="1">
      <c r="B37" s="32" t="s">
        <v>156</v>
      </c>
      <c r="C37" s="224" t="s">
        <v>7</v>
      </c>
      <c r="D37" s="227" t="s">
        <v>220</v>
      </c>
      <c r="E37" t="s">
        <v>7</v>
      </c>
    </row>
    <row r="38" spans="2:26" ht="15" customHeight="1">
      <c r="B38" s="32" t="s">
        <v>157</v>
      </c>
      <c r="C38" s="224" t="s">
        <v>7</v>
      </c>
      <c r="D38" s="227" t="s">
        <v>221</v>
      </c>
      <c r="E38" t="s">
        <v>7</v>
      </c>
      <c r="L38" t="s">
        <v>469</v>
      </c>
      <c r="M38" t="b">
        <v>0</v>
      </c>
    </row>
    <row r="39" spans="2:26" ht="15" customHeight="1">
      <c r="B39" s="32" t="s">
        <v>158</v>
      </c>
      <c r="C39" s="224" t="s">
        <v>7</v>
      </c>
      <c r="D39" s="227" t="s">
        <v>222</v>
      </c>
      <c r="E39" t="s">
        <v>7</v>
      </c>
      <c r="L39" s="3" t="s">
        <v>489</v>
      </c>
      <c r="M39" t="b">
        <v>0</v>
      </c>
    </row>
    <row r="40" spans="2:26" ht="15" customHeight="1">
      <c r="B40" s="33" t="s">
        <v>159</v>
      </c>
      <c r="C40" s="224" t="s">
        <v>7</v>
      </c>
      <c r="D40" s="227" t="s">
        <v>223</v>
      </c>
      <c r="E40" t="s">
        <v>7</v>
      </c>
    </row>
    <row r="41" spans="2:26" ht="15" customHeight="1">
      <c r="B41" s="32" t="s">
        <v>186</v>
      </c>
      <c r="C41" s="224" t="s">
        <v>7</v>
      </c>
      <c r="D41" s="227" t="s">
        <v>224</v>
      </c>
      <c r="E41" t="s">
        <v>7</v>
      </c>
      <c r="L41" t="s">
        <v>502</v>
      </c>
      <c r="M41" t="b">
        <v>0</v>
      </c>
    </row>
    <row r="42" spans="2:26" ht="15" customHeight="1">
      <c r="B42" s="32"/>
      <c r="C42" s="224"/>
      <c r="D42" s="227"/>
      <c r="L42" s="3" t="s">
        <v>503</v>
      </c>
      <c r="M42" t="b">
        <v>0</v>
      </c>
    </row>
    <row r="43" spans="2:26" ht="15" customHeight="1">
      <c r="B43" s="33" t="s">
        <v>160</v>
      </c>
      <c r="C43" s="224" t="s">
        <v>7</v>
      </c>
      <c r="D43" s="227" t="s">
        <v>225</v>
      </c>
      <c r="E43" t="s">
        <v>7</v>
      </c>
      <c r="L43" s="3" t="s">
        <v>506</v>
      </c>
      <c r="M43" t="b">
        <v>0</v>
      </c>
    </row>
    <row r="44" spans="2:26" ht="15" customHeight="1">
      <c r="B44" s="32" t="s">
        <v>161</v>
      </c>
      <c r="C44" s="224" t="s">
        <v>7</v>
      </c>
      <c r="D44" s="227" t="s">
        <v>226</v>
      </c>
      <c r="E44" t="s">
        <v>7</v>
      </c>
    </row>
    <row r="45" spans="2:26" ht="15" customHeight="1">
      <c r="B45" s="32" t="s">
        <v>162</v>
      </c>
      <c r="C45" s="224" t="s">
        <v>7</v>
      </c>
      <c r="D45" s="228" t="s">
        <v>108</v>
      </c>
      <c r="E45" t="s">
        <v>7</v>
      </c>
      <c r="L45" t="s">
        <v>10</v>
      </c>
      <c r="M45" t="b">
        <v>0</v>
      </c>
    </row>
    <row r="46" spans="2:26" ht="15" customHeight="1">
      <c r="B46" s="32" t="s">
        <v>163</v>
      </c>
      <c r="C46" s="224" t="s">
        <v>7</v>
      </c>
      <c r="D46" s="227" t="s">
        <v>227</v>
      </c>
      <c r="E46" t="s">
        <v>7</v>
      </c>
      <c r="L46" s="3" t="s">
        <v>523</v>
      </c>
      <c r="M46" t="b">
        <v>0</v>
      </c>
    </row>
    <row r="47" spans="2:26" ht="15" customHeight="1">
      <c r="B47" s="32" t="s">
        <v>164</v>
      </c>
      <c r="C47" s="224" t="s">
        <v>7</v>
      </c>
      <c r="D47" s="227" t="s">
        <v>228</v>
      </c>
      <c r="E47" t="s">
        <v>7</v>
      </c>
      <c r="L47" s="3" t="s">
        <v>524</v>
      </c>
      <c r="M47" t="b">
        <v>0</v>
      </c>
    </row>
    <row r="48" spans="2:26" ht="15" customHeight="1">
      <c r="B48" s="32" t="s">
        <v>165</v>
      </c>
      <c r="C48" s="224" t="s">
        <v>7</v>
      </c>
      <c r="D48" s="227" t="s">
        <v>229</v>
      </c>
      <c r="E48" t="s">
        <v>7</v>
      </c>
      <c r="Z48" t="str">
        <f>IF(Z47&gt;=0.7,IF(Z41="OUI",Annexes!O6,IF(AND(Z43="OUI",Z40&gt;=0.8),"- L'entreprise a subi une perte d'au-moins 70 % en Octobre 2020 et est mentionnée en annexe 2 (S1 bis) du"&amp;" décret 2020-1328 ayant aussi eu une perte de CA d'au moins 80 % entre le 15/03/2020 et le 15/05/2020, l'entreprise peut bénéficier à ce titre d'une aide plafonné à 10 000 €","- L'entreprise n'est pas mentionnée en annexe 1 (S1) ou en annexe 2 (S1 bis) du décret 2020-1328 et ayant subi une perte de CA d'au moins 80 % entre le 15/03/2020 et le 15/05/2020, l'entreprise ne peut donc pas bénéficier de cette aide")),IF(Z47&gt;=0.5,IF(Z41="OUI","- L'entreprise a subi une perte d'au-moins 50 % en Octobre 2020 et est mentionnée en annexe 1 (S1) du décret 2020-1328, l'entreprise peut bénéficier à ce titre d'une aide plafonné à 10 000 €",IF(AND(Z43="OUI",Z40&gt;=0.8),"- L'entreprise a subi une perte d'au-moins 50 % en Octobre 2020 et est mentionnée en annexe 2 (S1 bis) du décret 2020-1328 ayant aussi eu une perte de CA d'au moins 80 % entre le 15/03/2020 et le 15/05/2020,"&amp;" l'entreprise peut bénéficier à ce titre d'une aide plafonné à 10 000 €","- L'entreprise n'est pas mentionnée en annexe 1 (S1) ou en annexe 2 (S1 bis) du décret 2020-1328 et ayant subi une perte de CA d'au moins 80 % entre le 15/03/2020 et le 15/05/2020, l'entreprise ne peut donc pas bénéficier de cette aide")),"L'entreprise n'a pas subi de perte d'au moins 50 % sur son CA d'Octobre 2020"))</f>
        <v>L'entreprise n'a pas subi de perte d'au moins 50 % sur son CA d'Octobre 2020</v>
      </c>
    </row>
    <row r="49" spans="2:5" ht="15" customHeight="1">
      <c r="B49" s="32" t="s">
        <v>166</v>
      </c>
      <c r="C49" s="224" t="s">
        <v>7</v>
      </c>
      <c r="D49" s="238" t="s">
        <v>256</v>
      </c>
      <c r="E49" t="s">
        <v>7</v>
      </c>
    </row>
    <row r="50" spans="2:5" ht="15" customHeight="1">
      <c r="B50" s="34" t="s">
        <v>187</v>
      </c>
      <c r="C50" s="224" t="s">
        <v>7</v>
      </c>
      <c r="D50" s="229" t="s">
        <v>257</v>
      </c>
      <c r="E50" t="s">
        <v>7</v>
      </c>
    </row>
    <row r="51" spans="2:5" ht="15" customHeight="1">
      <c r="B51" s="34" t="s">
        <v>188</v>
      </c>
      <c r="C51" s="224" t="s">
        <v>7</v>
      </c>
      <c r="D51" s="229" t="s">
        <v>258</v>
      </c>
      <c r="E51" t="s">
        <v>7</v>
      </c>
    </row>
    <row r="52" spans="2:5" ht="15" customHeight="1">
      <c r="B52" s="32" t="s">
        <v>167</v>
      </c>
      <c r="C52" s="224" t="s">
        <v>7</v>
      </c>
      <c r="D52" s="229" t="s">
        <v>259</v>
      </c>
      <c r="E52" t="s">
        <v>7</v>
      </c>
    </row>
    <row r="53" spans="2:5" ht="15" customHeight="1">
      <c r="B53" s="32" t="s">
        <v>168</v>
      </c>
      <c r="C53" s="224" t="s">
        <v>7</v>
      </c>
      <c r="D53" s="229" t="s">
        <v>260</v>
      </c>
      <c r="E53" t="s">
        <v>7</v>
      </c>
    </row>
    <row r="54" spans="2:5" ht="15" customHeight="1">
      <c r="B54" s="32" t="s">
        <v>169</v>
      </c>
      <c r="C54" s="224" t="s">
        <v>7</v>
      </c>
      <c r="D54" s="229" t="s">
        <v>261</v>
      </c>
      <c r="E54" t="s">
        <v>7</v>
      </c>
    </row>
    <row r="55" spans="2:5" ht="15" customHeight="1">
      <c r="B55" s="32" t="s">
        <v>170</v>
      </c>
      <c r="C55" s="224" t="s">
        <v>7</v>
      </c>
      <c r="D55" s="229" t="s">
        <v>262</v>
      </c>
      <c r="E55" t="s">
        <v>7</v>
      </c>
    </row>
    <row r="56" spans="2:5" ht="15" customHeight="1">
      <c r="B56" s="32" t="s">
        <v>171</v>
      </c>
      <c r="C56" s="224" t="s">
        <v>7</v>
      </c>
      <c r="D56" s="229" t="s">
        <v>263</v>
      </c>
      <c r="E56" t="s">
        <v>7</v>
      </c>
    </row>
    <row r="57" spans="2:5" ht="15" customHeight="1">
      <c r="B57" s="33" t="s">
        <v>172</v>
      </c>
      <c r="C57" s="224" t="s">
        <v>7</v>
      </c>
      <c r="D57" s="230" t="s">
        <v>264</v>
      </c>
      <c r="E57" t="s">
        <v>7</v>
      </c>
    </row>
    <row r="58" spans="2:5" ht="15" customHeight="1">
      <c r="B58" s="34" t="s">
        <v>189</v>
      </c>
      <c r="C58" s="224" t="s">
        <v>7</v>
      </c>
      <c r="D58" s="230" t="s">
        <v>265</v>
      </c>
      <c r="E58" t="s">
        <v>7</v>
      </c>
    </row>
    <row r="59" spans="2:5" ht="15" customHeight="1">
      <c r="B59" s="34" t="s">
        <v>190</v>
      </c>
      <c r="C59" s="224" t="s">
        <v>7</v>
      </c>
      <c r="D59" s="230" t="s">
        <v>266</v>
      </c>
      <c r="E59" t="s">
        <v>7</v>
      </c>
    </row>
    <row r="60" spans="2:5" ht="15" customHeight="1">
      <c r="B60" s="34" t="s">
        <v>191</v>
      </c>
      <c r="C60" s="224" t="s">
        <v>7</v>
      </c>
      <c r="D60" s="230" t="s">
        <v>267</v>
      </c>
      <c r="E60" t="s">
        <v>7</v>
      </c>
    </row>
    <row r="61" spans="2:5" ht="15" customHeight="1">
      <c r="B61" s="34" t="s">
        <v>192</v>
      </c>
      <c r="C61" s="224" t="s">
        <v>7</v>
      </c>
      <c r="D61" s="230" t="s">
        <v>268</v>
      </c>
      <c r="E61" t="s">
        <v>7</v>
      </c>
    </row>
    <row r="62" spans="2:5" ht="15" customHeight="1">
      <c r="B62" s="34" t="s">
        <v>193</v>
      </c>
      <c r="C62" s="224" t="s">
        <v>7</v>
      </c>
      <c r="D62" s="230" t="s">
        <v>269</v>
      </c>
      <c r="E62" t="s">
        <v>7</v>
      </c>
    </row>
    <row r="63" spans="2:5" ht="15" customHeight="1">
      <c r="B63" s="34" t="s">
        <v>194</v>
      </c>
      <c r="C63" s="224" t="s">
        <v>7</v>
      </c>
      <c r="D63" s="230" t="s">
        <v>270</v>
      </c>
      <c r="E63" t="s">
        <v>7</v>
      </c>
    </row>
    <row r="64" spans="2:5" ht="15" customHeight="1">
      <c r="B64" s="35" t="s">
        <v>195</v>
      </c>
      <c r="C64" s="224" t="s">
        <v>7</v>
      </c>
      <c r="D64" s="230" t="s">
        <v>271</v>
      </c>
      <c r="E64" t="s">
        <v>7</v>
      </c>
    </row>
    <row r="65" spans="2:5" ht="15" customHeight="1">
      <c r="B65" s="234" t="s">
        <v>173</v>
      </c>
      <c r="C65" s="224" t="s">
        <v>7</v>
      </c>
      <c r="D65" s="230" t="s">
        <v>272</v>
      </c>
      <c r="E65" t="s">
        <v>7</v>
      </c>
    </row>
    <row r="66" spans="2:5" ht="15" customHeight="1">
      <c r="B66" s="235" t="s">
        <v>178</v>
      </c>
      <c r="C66" s="224" t="s">
        <v>7</v>
      </c>
      <c r="D66" s="230" t="s">
        <v>273</v>
      </c>
      <c r="E66" t="s">
        <v>7</v>
      </c>
    </row>
    <row r="67" spans="2:5" ht="15" customHeight="1">
      <c r="B67" s="235" t="s">
        <v>179</v>
      </c>
      <c r="C67" s="224" t="s">
        <v>7</v>
      </c>
      <c r="D67" s="230" t="s">
        <v>274</v>
      </c>
      <c r="E67" t="s">
        <v>7</v>
      </c>
    </row>
    <row r="68" spans="2:5" ht="15" customHeight="1">
      <c r="B68" s="235" t="s">
        <v>180</v>
      </c>
      <c r="C68" s="224" t="s">
        <v>7</v>
      </c>
      <c r="D68" s="230" t="s">
        <v>275</v>
      </c>
      <c r="E68" t="s">
        <v>7</v>
      </c>
    </row>
    <row r="69" spans="2:5" ht="15" customHeight="1">
      <c r="B69" s="235" t="s">
        <v>181</v>
      </c>
      <c r="C69" s="224" t="s">
        <v>7</v>
      </c>
      <c r="D69" s="230" t="s">
        <v>276</v>
      </c>
      <c r="E69" t="s">
        <v>7</v>
      </c>
    </row>
    <row r="70" spans="2:5" ht="15" customHeight="1">
      <c r="B70" s="235" t="s">
        <v>182</v>
      </c>
      <c r="C70" s="224" t="s">
        <v>7</v>
      </c>
      <c r="D70" s="230" t="s">
        <v>277</v>
      </c>
      <c r="E70" t="s">
        <v>7</v>
      </c>
    </row>
    <row r="71" spans="2:5" ht="15" customHeight="1">
      <c r="B71" s="235" t="s">
        <v>183</v>
      </c>
      <c r="C71" s="224" t="s">
        <v>7</v>
      </c>
      <c r="D71" s="230" t="s">
        <v>278</v>
      </c>
      <c r="E71" t="s">
        <v>7</v>
      </c>
    </row>
    <row r="72" spans="2:5" ht="15" customHeight="1">
      <c r="B72" s="235" t="s">
        <v>184</v>
      </c>
      <c r="C72" s="224" t="s">
        <v>7</v>
      </c>
      <c r="D72" s="230" t="s">
        <v>279</v>
      </c>
      <c r="E72" t="s">
        <v>7</v>
      </c>
    </row>
    <row r="73" spans="2:5" ht="15" customHeight="1">
      <c r="B73" s="236" t="s">
        <v>174</v>
      </c>
      <c r="C73" s="224" t="s">
        <v>7</v>
      </c>
      <c r="D73" s="230" t="s">
        <v>280</v>
      </c>
      <c r="E73" t="s">
        <v>7</v>
      </c>
    </row>
    <row r="74" spans="2:5" ht="15" customHeight="1">
      <c r="B74" s="236" t="s">
        <v>230</v>
      </c>
      <c r="C74" s="224" t="s">
        <v>7</v>
      </c>
      <c r="D74" s="230" t="s">
        <v>281</v>
      </c>
      <c r="E74" t="s">
        <v>7</v>
      </c>
    </row>
    <row r="75" spans="2:5" ht="15" customHeight="1">
      <c r="B75" s="236" t="s">
        <v>175</v>
      </c>
      <c r="C75" s="224" t="s">
        <v>7</v>
      </c>
      <c r="D75" s="230" t="s">
        <v>282</v>
      </c>
      <c r="E75" t="s">
        <v>7</v>
      </c>
    </row>
    <row r="76" spans="2:5" ht="15" customHeight="1">
      <c r="B76" s="236" t="s">
        <v>231</v>
      </c>
      <c r="C76" s="224" t="s">
        <v>7</v>
      </c>
      <c r="D76" s="230" t="s">
        <v>283</v>
      </c>
      <c r="E76" t="s">
        <v>7</v>
      </c>
    </row>
    <row r="77" spans="2:5" ht="15" customHeight="1">
      <c r="B77" s="236" t="s">
        <v>176</v>
      </c>
      <c r="C77" s="224" t="s">
        <v>7</v>
      </c>
      <c r="D77" s="230" t="s">
        <v>284</v>
      </c>
      <c r="E77" t="s">
        <v>7</v>
      </c>
    </row>
    <row r="78" spans="2:5" ht="15" customHeight="1">
      <c r="B78" s="236" t="s">
        <v>232</v>
      </c>
      <c r="C78" s="224" t="s">
        <v>7</v>
      </c>
      <c r="D78" s="230" t="s">
        <v>285</v>
      </c>
      <c r="E78" t="s">
        <v>7</v>
      </c>
    </row>
    <row r="79" spans="2:5" ht="15" customHeight="1">
      <c r="B79" s="236" t="s">
        <v>233</v>
      </c>
      <c r="C79" s="224" t="s">
        <v>7</v>
      </c>
      <c r="D79" s="230" t="s">
        <v>286</v>
      </c>
      <c r="E79" t="s">
        <v>7</v>
      </c>
    </row>
    <row r="80" spans="2:5" ht="15" customHeight="1">
      <c r="B80" s="236" t="s">
        <v>234</v>
      </c>
      <c r="C80" s="224" t="s">
        <v>7</v>
      </c>
      <c r="D80" s="230" t="s">
        <v>287</v>
      </c>
      <c r="E80" t="s">
        <v>7</v>
      </c>
    </row>
    <row r="81" spans="2:5" ht="15" customHeight="1">
      <c r="B81" s="236" t="s">
        <v>235</v>
      </c>
      <c r="C81" s="224" t="s">
        <v>7</v>
      </c>
      <c r="D81" s="230" t="s">
        <v>288</v>
      </c>
      <c r="E81" t="s">
        <v>7</v>
      </c>
    </row>
    <row r="82" spans="2:5" ht="15" customHeight="1">
      <c r="B82" s="236" t="s">
        <v>236</v>
      </c>
      <c r="C82" s="224" t="s">
        <v>7</v>
      </c>
      <c r="D82" s="230" t="s">
        <v>289</v>
      </c>
      <c r="E82" t="s">
        <v>7</v>
      </c>
    </row>
    <row r="83" spans="2:5" ht="15" customHeight="1">
      <c r="B83" s="236" t="s">
        <v>237</v>
      </c>
      <c r="C83" s="224" t="s">
        <v>7</v>
      </c>
      <c r="D83" s="228" t="s">
        <v>293</v>
      </c>
      <c r="E83" t="s">
        <v>7</v>
      </c>
    </row>
    <row r="84" spans="2:5" ht="15" customHeight="1">
      <c r="B84" s="224"/>
      <c r="C84" s="224" t="s">
        <v>7</v>
      </c>
      <c r="D84" s="230" t="s">
        <v>290</v>
      </c>
      <c r="E84" t="s">
        <v>7</v>
      </c>
    </row>
    <row r="85" spans="2:5" ht="15" customHeight="1">
      <c r="B85" s="224"/>
      <c r="C85" s="224" t="s">
        <v>7</v>
      </c>
      <c r="D85" s="230" t="s">
        <v>291</v>
      </c>
      <c r="E85" t="s">
        <v>7</v>
      </c>
    </row>
    <row r="86" spans="2:5" ht="15" customHeight="1">
      <c r="B86" s="224"/>
      <c r="C86" s="224" t="s">
        <v>7</v>
      </c>
      <c r="D86" s="230" t="s">
        <v>292</v>
      </c>
      <c r="E86" t="s">
        <v>7</v>
      </c>
    </row>
    <row r="87" spans="2:5" ht="15" customHeight="1">
      <c r="B87" s="224"/>
      <c r="C87" s="224" t="s">
        <v>7</v>
      </c>
      <c r="D87" s="231" t="s">
        <v>245</v>
      </c>
      <c r="E87" t="s">
        <v>7</v>
      </c>
    </row>
    <row r="88" spans="2:5" ht="15" customHeight="1">
      <c r="B88" s="224"/>
      <c r="C88" s="224" t="s">
        <v>7</v>
      </c>
      <c r="D88" s="231" t="s">
        <v>246</v>
      </c>
      <c r="E88" t="s">
        <v>7</v>
      </c>
    </row>
    <row r="89" spans="2:5" ht="15" customHeight="1">
      <c r="B89" s="224"/>
      <c r="C89" s="224" t="s">
        <v>7</v>
      </c>
      <c r="D89" s="231" t="s">
        <v>247</v>
      </c>
      <c r="E89" t="s">
        <v>7</v>
      </c>
    </row>
    <row r="90" spans="2:5" ht="15" customHeight="1">
      <c r="B90" s="224"/>
      <c r="C90" s="224"/>
      <c r="D90" s="231" t="s">
        <v>248</v>
      </c>
      <c r="E90" t="s">
        <v>7</v>
      </c>
    </row>
    <row r="91" spans="2:5" ht="15" customHeight="1">
      <c r="B91" s="224"/>
      <c r="C91" s="224"/>
      <c r="D91" s="231" t="s">
        <v>249</v>
      </c>
      <c r="E91" t="s">
        <v>7</v>
      </c>
    </row>
    <row r="92" spans="2:5" ht="15" customHeight="1">
      <c r="B92" s="224"/>
      <c r="C92" s="224"/>
      <c r="D92" s="231" t="s">
        <v>250</v>
      </c>
      <c r="E92" t="s">
        <v>7</v>
      </c>
    </row>
    <row r="93" spans="2:5" ht="15" customHeight="1">
      <c r="B93" s="224"/>
      <c r="C93" s="224"/>
      <c r="D93" s="239" t="s">
        <v>251</v>
      </c>
      <c r="E93" t="s">
        <v>7</v>
      </c>
    </row>
    <row r="94" spans="2:5" ht="15" customHeight="1">
      <c r="B94" s="224"/>
      <c r="C94" s="224"/>
      <c r="D94" s="231" t="s">
        <v>252</v>
      </c>
      <c r="E94" t="s">
        <v>7</v>
      </c>
    </row>
    <row r="95" spans="2:5" ht="15" customHeight="1">
      <c r="B95" s="224"/>
      <c r="C95" s="224"/>
      <c r="D95" s="239" t="s">
        <v>253</v>
      </c>
      <c r="E95" t="s">
        <v>7</v>
      </c>
    </row>
    <row r="96" spans="2:5" ht="15" customHeight="1">
      <c r="B96" s="224"/>
      <c r="C96" s="224"/>
      <c r="D96" s="239" t="s">
        <v>254</v>
      </c>
      <c r="E96" t="s">
        <v>7</v>
      </c>
    </row>
    <row r="97" spans="2:5" ht="15" customHeight="1">
      <c r="B97" s="224"/>
      <c r="C97" s="224"/>
      <c r="D97" s="258" t="s">
        <v>315</v>
      </c>
      <c r="E97" t="s">
        <v>7</v>
      </c>
    </row>
    <row r="98" spans="2:5" ht="15" customHeight="1">
      <c r="B98" s="224"/>
      <c r="C98" s="224"/>
      <c r="D98" s="240" t="s">
        <v>316</v>
      </c>
      <c r="E98" t="s">
        <v>7</v>
      </c>
    </row>
    <row r="99" spans="2:5" ht="15" customHeight="1">
      <c r="B99" s="224"/>
      <c r="C99" s="224"/>
      <c r="D99" s="240" t="s">
        <v>317</v>
      </c>
      <c r="E99" t="s">
        <v>7</v>
      </c>
    </row>
    <row r="100" spans="2:5" ht="15" customHeight="1">
      <c r="B100" s="224"/>
      <c r="C100" s="224"/>
      <c r="D100" s="259" t="s">
        <v>294</v>
      </c>
      <c r="E100" t="s">
        <v>7</v>
      </c>
    </row>
    <row r="101" spans="2:5" ht="15" customHeight="1">
      <c r="B101" s="224"/>
      <c r="C101" s="224"/>
      <c r="D101" s="240" t="s">
        <v>295</v>
      </c>
      <c r="E101" t="s">
        <v>7</v>
      </c>
    </row>
    <row r="102" spans="2:5" ht="15" customHeight="1">
      <c r="B102" s="224"/>
      <c r="C102" s="224"/>
      <c r="D102" s="241" t="s">
        <v>296</v>
      </c>
      <c r="E102" t="s">
        <v>7</v>
      </c>
    </row>
    <row r="103" spans="2:5" ht="15" customHeight="1">
      <c r="B103" s="224"/>
      <c r="C103" s="224"/>
      <c r="D103" s="241" t="s">
        <v>297</v>
      </c>
      <c r="E103" t="s">
        <v>7</v>
      </c>
    </row>
    <row r="104" spans="2:5" ht="15" customHeight="1">
      <c r="B104" s="224"/>
      <c r="C104" s="224"/>
      <c r="D104" s="241" t="s">
        <v>298</v>
      </c>
      <c r="E104" t="s">
        <v>7</v>
      </c>
    </row>
    <row r="105" spans="2:5" ht="15" customHeight="1">
      <c r="B105" s="224"/>
      <c r="C105" s="224"/>
      <c r="D105" s="241" t="s">
        <v>124</v>
      </c>
      <c r="E105" t="s">
        <v>7</v>
      </c>
    </row>
    <row r="106" spans="2:5" ht="15" customHeight="1">
      <c r="B106" s="224"/>
      <c r="C106" s="224"/>
      <c r="D106" s="258" t="s">
        <v>321</v>
      </c>
      <c r="E106" t="s">
        <v>7</v>
      </c>
    </row>
    <row r="107" spans="2:5" ht="15" customHeight="1">
      <c r="B107" s="224"/>
      <c r="C107" s="224"/>
      <c r="D107" s="241" t="s">
        <v>318</v>
      </c>
      <c r="E107" t="s">
        <v>7</v>
      </c>
    </row>
    <row r="108" spans="2:5" ht="15" customHeight="1">
      <c r="B108" s="224"/>
      <c r="C108" s="224"/>
      <c r="D108" s="241" t="s">
        <v>319</v>
      </c>
      <c r="E108" t="s">
        <v>7</v>
      </c>
    </row>
    <row r="109" spans="2:5" ht="15" customHeight="1">
      <c r="B109" s="224"/>
      <c r="C109" s="224"/>
      <c r="D109" s="241" t="s">
        <v>320</v>
      </c>
      <c r="E109" t="s">
        <v>7</v>
      </c>
    </row>
    <row r="110" spans="2:5" ht="15" customHeight="1">
      <c r="B110" s="224"/>
      <c r="C110" s="224"/>
      <c r="D110" s="260" t="s">
        <v>322</v>
      </c>
      <c r="E110" t="s">
        <v>7</v>
      </c>
    </row>
    <row r="111" spans="2:5" ht="15" customHeight="1">
      <c r="B111" s="224"/>
      <c r="C111" s="224"/>
      <c r="D111" s="242" t="s">
        <v>323</v>
      </c>
      <c r="E111" t="s">
        <v>7</v>
      </c>
    </row>
    <row r="112" spans="2:5" ht="15" customHeight="1">
      <c r="B112" s="224"/>
      <c r="C112" s="224"/>
      <c r="D112" s="242" t="s">
        <v>324</v>
      </c>
      <c r="E112" t="s">
        <v>7</v>
      </c>
    </row>
    <row r="113" spans="2:5" ht="15" customHeight="1">
      <c r="B113" s="224"/>
      <c r="C113" s="224"/>
      <c r="D113" s="242" t="s">
        <v>325</v>
      </c>
      <c r="E113" t="s">
        <v>7</v>
      </c>
    </row>
    <row r="114" spans="2:5" ht="15" customHeight="1">
      <c r="B114" s="224"/>
      <c r="C114" s="224"/>
      <c r="D114" s="242" t="s">
        <v>326</v>
      </c>
      <c r="E114" t="s">
        <v>7</v>
      </c>
    </row>
    <row r="115" spans="2:5" ht="15" customHeight="1">
      <c r="B115" s="224"/>
      <c r="C115" s="224"/>
      <c r="D115" s="242" t="s">
        <v>327</v>
      </c>
      <c r="E115" t="s">
        <v>7</v>
      </c>
    </row>
    <row r="116" spans="2:5" ht="15" customHeight="1">
      <c r="B116" s="224"/>
      <c r="C116" s="224"/>
      <c r="D116" s="242" t="s">
        <v>328</v>
      </c>
      <c r="E116" t="s">
        <v>7</v>
      </c>
    </row>
    <row r="117" spans="2:5" ht="15" customHeight="1">
      <c r="B117" s="224"/>
      <c r="C117" s="224"/>
      <c r="D117" s="242" t="s">
        <v>329</v>
      </c>
      <c r="E117" t="s">
        <v>7</v>
      </c>
    </row>
    <row r="118" spans="2:5" ht="15" customHeight="1">
      <c r="B118" s="224"/>
      <c r="C118" s="224"/>
      <c r="D118" s="242" t="s">
        <v>330</v>
      </c>
      <c r="E118" t="s">
        <v>7</v>
      </c>
    </row>
    <row r="119" spans="2:5" ht="15" customHeight="1">
      <c r="B119" s="224"/>
      <c r="C119" s="224"/>
      <c r="D119" s="242" t="s">
        <v>331</v>
      </c>
      <c r="E119" t="s">
        <v>7</v>
      </c>
    </row>
    <row r="120" spans="2:5" ht="15" customHeight="1">
      <c r="B120" s="224"/>
      <c r="C120" s="224"/>
      <c r="D120" s="262" t="s">
        <v>338</v>
      </c>
      <c r="E120" t="s">
        <v>7</v>
      </c>
    </row>
    <row r="121" spans="2:5" ht="15" customHeight="1">
      <c r="B121" s="224"/>
      <c r="C121" s="224"/>
      <c r="D121" s="242" t="s">
        <v>339</v>
      </c>
      <c r="E121" t="s">
        <v>7</v>
      </c>
    </row>
    <row r="122" spans="2:5" ht="15" customHeight="1">
      <c r="B122" s="224"/>
      <c r="C122" s="224"/>
      <c r="D122" s="242" t="s">
        <v>340</v>
      </c>
      <c r="E122" t="s">
        <v>7</v>
      </c>
    </row>
    <row r="123" spans="2:5" ht="15" customHeight="1">
      <c r="B123" s="224"/>
      <c r="C123" s="224"/>
      <c r="D123" s="242" t="s">
        <v>341</v>
      </c>
      <c r="E123" t="s">
        <v>7</v>
      </c>
    </row>
    <row r="124" spans="2:5" ht="15" customHeight="1">
      <c r="B124" s="224"/>
      <c r="C124" s="224"/>
      <c r="D124" s="242" t="s">
        <v>342</v>
      </c>
      <c r="E124" t="s">
        <v>7</v>
      </c>
    </row>
    <row r="125" spans="2:5" ht="15" customHeight="1">
      <c r="B125" s="224"/>
      <c r="C125" s="224"/>
      <c r="D125" s="242" t="s">
        <v>332</v>
      </c>
      <c r="E125" t="s">
        <v>7</v>
      </c>
    </row>
    <row r="126" spans="2:5" ht="15" customHeight="1">
      <c r="B126" s="224"/>
      <c r="C126" s="224"/>
      <c r="D126" s="242" t="s">
        <v>333</v>
      </c>
      <c r="E126" t="s">
        <v>7</v>
      </c>
    </row>
    <row r="127" spans="2:5" ht="15" customHeight="1">
      <c r="B127" s="224"/>
      <c r="C127" s="224"/>
      <c r="D127" s="242" t="s">
        <v>334</v>
      </c>
      <c r="E127" t="s">
        <v>7</v>
      </c>
    </row>
    <row r="128" spans="2:5" ht="15" customHeight="1">
      <c r="B128" s="224"/>
      <c r="C128" s="224"/>
      <c r="D128" s="242" t="s">
        <v>335</v>
      </c>
      <c r="E128" t="s">
        <v>7</v>
      </c>
    </row>
    <row r="129" spans="2:5" ht="15" customHeight="1">
      <c r="B129" s="224"/>
      <c r="C129" s="224"/>
      <c r="D129" s="232" t="s">
        <v>336</v>
      </c>
      <c r="E129" t="s">
        <v>7</v>
      </c>
    </row>
    <row r="130" spans="2:5" ht="15" customHeight="1">
      <c r="B130" s="224"/>
      <c r="C130" s="224"/>
      <c r="D130" s="309" t="s">
        <v>403</v>
      </c>
      <c r="E130" t="s">
        <v>7</v>
      </c>
    </row>
    <row r="131" spans="2:5" ht="15" customHeight="1">
      <c r="B131" s="224"/>
      <c r="C131" s="224"/>
      <c r="D131" s="309" t="s">
        <v>404</v>
      </c>
      <c r="E131" t="s">
        <v>7</v>
      </c>
    </row>
    <row r="132" spans="2:5" ht="15" customHeight="1">
      <c r="B132" s="224"/>
      <c r="C132" s="224"/>
      <c r="D132" s="309" t="s">
        <v>405</v>
      </c>
      <c r="E132" t="s">
        <v>7</v>
      </c>
    </row>
    <row r="133" spans="2:5" ht="15" customHeight="1">
      <c r="D133" s="309" t="s">
        <v>406</v>
      </c>
      <c r="E133" t="s">
        <v>7</v>
      </c>
    </row>
    <row r="134" spans="2:5" ht="15" customHeight="1">
      <c r="D134" s="309" t="s">
        <v>407</v>
      </c>
      <c r="E134" t="s">
        <v>7</v>
      </c>
    </row>
    <row r="135" spans="2:5" ht="15" customHeight="1">
      <c r="D135" s="309" t="s">
        <v>408</v>
      </c>
      <c r="E135" t="s">
        <v>7</v>
      </c>
    </row>
    <row r="136" spans="2:5" ht="15" customHeight="1">
      <c r="D136" s="309" t="s">
        <v>409</v>
      </c>
      <c r="E136" t="s">
        <v>7</v>
      </c>
    </row>
    <row r="137" spans="2:5" ht="15" customHeight="1">
      <c r="D137" s="309" t="s">
        <v>410</v>
      </c>
      <c r="E137" t="s">
        <v>7</v>
      </c>
    </row>
    <row r="138" spans="2:5" ht="15" customHeight="1">
      <c r="D138" s="261" t="s">
        <v>337</v>
      </c>
      <c r="E138" t="s">
        <v>7</v>
      </c>
    </row>
    <row r="139" spans="2:5" ht="15" customHeight="1">
      <c r="E139" t="s">
        <v>7</v>
      </c>
    </row>
    <row r="140" spans="2:5" ht="15" customHeight="1">
      <c r="E140" t="s">
        <v>7</v>
      </c>
    </row>
    <row r="141" spans="2:5" ht="15" customHeight="1">
      <c r="E141" t="s">
        <v>7</v>
      </c>
    </row>
  </sheetData>
  <mergeCells count="1">
    <mergeCell ref="O4:P4"/>
  </mergeCells>
  <hyperlinks>
    <hyperlink ref="D36" r:id="rId1" tooltip="Code du travail - art. L3132-24 (Ab)" display="https://www.legifrance.gouv.fr/affichCodeArticle.do?cidTexte=LEGITEXT000006072050&amp;idArticle=LEGIARTI000006902603&amp;dateTexte=&amp;categorieLien=cid"/>
    <hyperlink ref="D49" r:id="rId2" tooltip="Décret n°2006-595 du 23 mai 2006 (V)" display="https://www.legifrance.gouv.fr/affichTexte.do?cidTexte=JORFTEXT000000607662&amp;categorieLien=cid"/>
  </hyperlinks>
  <pageMargins left="0.7" right="0.7" top="0.75" bottom="0.75" header="0.3" footer="0.3"/>
  <pageSetup paperSize="9" orientation="portrait" horizontalDpi="1200" verticalDpi="1200"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Mon Entreprise</vt:lpstr>
      <vt:lpstr>Mes Aides</vt:lpstr>
      <vt:lpstr>Explications des Calculs</vt:lpstr>
      <vt:lpstr>Aides Compl "coûts fixes"</vt:lpstr>
      <vt:lpstr>Annexes</vt:lpstr>
      <vt:lpstr>Feuil2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2021-10-27T12:32:39Z</dcterms:modified>
</cp:coreProperties>
</file>