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6BD" lockStructure="1"/>
  <bookViews>
    <workbookView xWindow="-120" yWindow="-120" windowWidth="29040" windowHeight="15840"/>
  </bookViews>
  <sheets>
    <sheet name="Mon Entreprise" sheetId="1" r:id="rId1"/>
    <sheet name="Mes Aides" sheetId="3" r:id="rId2"/>
    <sheet name="Explications des Calculs" sheetId="4" r:id="rId3"/>
    <sheet name="Aides Compl &quot;coûts fixes&quot;" sheetId="5" r:id="rId4"/>
    <sheet name="Annexes" sheetId="2" state="hidden" r:id="rId5"/>
    <sheet name="Feuil2" sheetId="6" state="hidden"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4" i="5" l="1"/>
  <c r="C229" i="5"/>
  <c r="C226" i="5"/>
  <c r="C225" i="5"/>
  <c r="C224" i="5"/>
  <c r="C223" i="5"/>
  <c r="C220" i="5"/>
  <c r="C212" i="5"/>
  <c r="C207" i="5"/>
  <c r="C198" i="5"/>
  <c r="C190" i="5"/>
  <c r="C185" i="5"/>
  <c r="C180" i="5"/>
  <c r="C202" i="5"/>
  <c r="C176" i="5"/>
  <c r="AM36" i="5"/>
  <c r="AK36" i="5" s="1"/>
  <c r="AM35" i="5"/>
  <c r="AM34" i="5"/>
  <c r="L2" i="5"/>
  <c r="L6" i="5"/>
  <c r="L8" i="5"/>
  <c r="G35" i="5"/>
  <c r="J35" i="5"/>
  <c r="M35" i="5"/>
  <c r="P35" i="5"/>
  <c r="C95" i="5" s="1"/>
  <c r="S35" i="5"/>
  <c r="V35" i="5"/>
  <c r="Y35" i="5"/>
  <c r="AB35" i="5"/>
  <c r="C183" i="5" s="1"/>
  <c r="AE35" i="5"/>
  <c r="C44" i="5"/>
  <c r="C47" i="5"/>
  <c r="AM28" i="5" s="1"/>
  <c r="C48" i="5"/>
  <c r="C49" i="5"/>
  <c r="C53" i="5" s="1"/>
  <c r="C50" i="5"/>
  <c r="C51" i="5"/>
  <c r="C66" i="5"/>
  <c r="C69" i="5"/>
  <c r="AM29" i="5" s="1"/>
  <c r="C70" i="5"/>
  <c r="C71" i="5"/>
  <c r="C72" i="5"/>
  <c r="C73" i="5"/>
  <c r="C88" i="5"/>
  <c r="C91" i="5"/>
  <c r="C92" i="5"/>
  <c r="C93" i="5"/>
  <c r="C94" i="5"/>
  <c r="C110" i="5"/>
  <c r="C113" i="5"/>
  <c r="C114" i="5"/>
  <c r="C115" i="5"/>
  <c r="C116" i="5"/>
  <c r="C132" i="5"/>
  <c r="C135" i="5"/>
  <c r="AM32" i="5" s="1"/>
  <c r="C136" i="5"/>
  <c r="C137" i="5"/>
  <c r="C138" i="5"/>
  <c r="C139" i="5"/>
  <c r="C154" i="5"/>
  <c r="C157" i="5"/>
  <c r="AM33" i="5" s="1"/>
  <c r="C158" i="5"/>
  <c r="C159" i="5"/>
  <c r="C160" i="5"/>
  <c r="C161" i="5"/>
  <c r="C179" i="5"/>
  <c r="C181" i="5"/>
  <c r="C182" i="5"/>
  <c r="C201" i="5"/>
  <c r="C203" i="5"/>
  <c r="C204" i="5"/>
  <c r="C227" i="5"/>
  <c r="AK29" i="5" l="1"/>
  <c r="C80" i="5"/>
  <c r="C146" i="5"/>
  <c r="AK32" i="5"/>
  <c r="C58" i="5"/>
  <c r="AK28" i="5"/>
  <c r="AL28" i="5" s="1"/>
  <c r="AK33" i="5"/>
  <c r="C168" i="5"/>
  <c r="C97" i="5"/>
  <c r="AM30" i="5"/>
  <c r="C163" i="5"/>
  <c r="C141" i="5"/>
  <c r="C75" i="5"/>
  <c r="C205" i="5"/>
  <c r="C117" i="5"/>
  <c r="C119" i="5" s="1"/>
  <c r="AB674" i="4"/>
  <c r="AB694" i="4" s="1"/>
  <c r="AE662" i="4"/>
  <c r="AB662" i="4"/>
  <c r="Y662" i="4"/>
  <c r="AB612" i="4"/>
  <c r="AB632" i="4" s="1"/>
  <c r="AE600" i="4"/>
  <c r="AB600" i="4"/>
  <c r="Y600" i="4"/>
  <c r="AB552" i="4"/>
  <c r="AB572" i="4" s="1"/>
  <c r="AE540" i="4"/>
  <c r="AB540" i="4"/>
  <c r="Y540" i="4"/>
  <c r="AB494" i="4"/>
  <c r="AB513" i="4" s="1"/>
  <c r="AE482" i="4"/>
  <c r="AB482" i="4"/>
  <c r="Y482" i="4"/>
  <c r="AB446" i="4"/>
  <c r="AB445" i="4"/>
  <c r="AB444" i="4"/>
  <c r="AB443" i="4"/>
  <c r="AB442" i="4"/>
  <c r="AB429" i="4"/>
  <c r="AB448" i="4" s="1"/>
  <c r="AE418" i="4"/>
  <c r="AB418" i="4"/>
  <c r="Y418" i="4"/>
  <c r="AB382" i="4"/>
  <c r="AB381" i="4"/>
  <c r="AB380" i="4"/>
  <c r="AB379" i="4"/>
  <c r="AB378" i="4"/>
  <c r="AB365" i="4"/>
  <c r="AE354" i="4"/>
  <c r="AB354" i="4"/>
  <c r="Y354" i="4"/>
  <c r="AB318" i="4"/>
  <c r="AB317" i="4"/>
  <c r="AB316" i="4"/>
  <c r="AB315" i="4"/>
  <c r="AB314" i="4"/>
  <c r="AB301" i="4"/>
  <c r="AB320" i="4" s="1"/>
  <c r="AE290" i="4"/>
  <c r="AB290" i="4"/>
  <c r="Y290" i="4"/>
  <c r="AB259" i="4"/>
  <c r="AB258" i="4"/>
  <c r="AB257" i="4"/>
  <c r="AB256" i="4"/>
  <c r="AB255" i="4"/>
  <c r="AB254" i="4"/>
  <c r="AB241" i="4"/>
  <c r="AE233" i="4"/>
  <c r="AB233" i="4"/>
  <c r="Y233" i="4"/>
  <c r="AB203" i="4"/>
  <c r="AB202" i="4"/>
  <c r="AB201" i="4"/>
  <c r="AB200" i="4"/>
  <c r="AB199" i="4"/>
  <c r="AB187" i="4"/>
  <c r="AE179" i="4"/>
  <c r="AB179" i="4"/>
  <c r="Y179" i="4"/>
  <c r="AB149" i="4"/>
  <c r="AB148" i="4"/>
  <c r="AB147" i="4"/>
  <c r="AB146" i="4"/>
  <c r="AB134" i="4"/>
  <c r="AE126" i="4"/>
  <c r="AB126" i="4"/>
  <c r="Y126" i="4"/>
  <c r="D119" i="4"/>
  <c r="AB110" i="4"/>
  <c r="AB109" i="4"/>
  <c r="AB108" i="4"/>
  <c r="AB107" i="4"/>
  <c r="AB99" i="4"/>
  <c r="AE94" i="4"/>
  <c r="AB94" i="4"/>
  <c r="Y94" i="4"/>
  <c r="AB84" i="4"/>
  <c r="AB83" i="4"/>
  <c r="AB82" i="4"/>
  <c r="AE78" i="4"/>
  <c r="AB78" i="4"/>
  <c r="Y78" i="4"/>
  <c r="AE77" i="4"/>
  <c r="AB77" i="4"/>
  <c r="Y77" i="4"/>
  <c r="E77" i="4"/>
  <c r="D76" i="4"/>
  <c r="D51" i="4"/>
  <c r="AB50" i="4"/>
  <c r="AB60" i="4" s="1"/>
  <c r="AB48" i="4"/>
  <c r="AB47" i="4"/>
  <c r="AE42" i="4"/>
  <c r="AB42" i="4"/>
  <c r="Y42" i="4"/>
  <c r="AB31" i="4"/>
  <c r="AB30" i="4"/>
  <c r="AB29" i="4"/>
  <c r="E26" i="4"/>
  <c r="AE25" i="4"/>
  <c r="AB25" i="4"/>
  <c r="Y25" i="4"/>
  <c r="D25" i="4"/>
  <c r="AE24" i="4"/>
  <c r="AB24" i="4"/>
  <c r="Y24" i="4"/>
  <c r="AE662" i="3"/>
  <c r="AB662" i="3"/>
  <c r="Y662" i="3"/>
  <c r="AB674" i="3"/>
  <c r="AB694" i="3" s="1"/>
  <c r="AK35" i="5" l="1"/>
  <c r="AK30" i="5"/>
  <c r="C102" i="5"/>
  <c r="C234" i="5"/>
  <c r="AM31" i="5"/>
  <c r="AL29" i="5"/>
  <c r="D29" i="4"/>
  <c r="D80" i="4"/>
  <c r="AB62" i="4"/>
  <c r="AB384" i="4"/>
  <c r="D56" i="4"/>
  <c r="AK31" i="5" l="1"/>
  <c r="C124" i="5"/>
  <c r="AL30" i="5"/>
  <c r="AE600" i="3"/>
  <c r="AB600" i="3"/>
  <c r="Y600" i="3"/>
  <c r="AB612" i="3"/>
  <c r="AL31" i="5" l="1"/>
  <c r="AL32" i="5" s="1"/>
  <c r="AL33" i="5" s="1"/>
  <c r="AL34" i="5" s="1"/>
  <c r="AL35" i="5" s="1"/>
  <c r="AL36" i="5" s="1"/>
  <c r="AB632" i="3"/>
  <c r="AB552" i="3" l="1"/>
  <c r="I148" i="1"/>
  <c r="AE540" i="3"/>
  <c r="AB540" i="3"/>
  <c r="Y540" i="3"/>
  <c r="AE482" i="3"/>
  <c r="AB482" i="3"/>
  <c r="Y482" i="3"/>
  <c r="AB494" i="3"/>
  <c r="Y664" i="3" l="1"/>
  <c r="AE664" i="4"/>
  <c r="AE602" i="4"/>
  <c r="AB542" i="4"/>
  <c r="AB484" i="4"/>
  <c r="Y420" i="4"/>
  <c r="AB664" i="3"/>
  <c r="AB664" i="4"/>
  <c r="AB602" i="4"/>
  <c r="Y542" i="4"/>
  <c r="Y484" i="4"/>
  <c r="AE356" i="4"/>
  <c r="AE664" i="3"/>
  <c r="AE542" i="4"/>
  <c r="AE484" i="4"/>
  <c r="Y664" i="4"/>
  <c r="Y602" i="4"/>
  <c r="AE420" i="4"/>
  <c r="AB356" i="4"/>
  <c r="AB420" i="4"/>
  <c r="Y356" i="4"/>
  <c r="AE602" i="3"/>
  <c r="AB602" i="3"/>
  <c r="AE356" i="3"/>
  <c r="Y602" i="3"/>
  <c r="AB513" i="3"/>
  <c r="AB572" i="3"/>
  <c r="AE420" i="3"/>
  <c r="AE484" i="3"/>
  <c r="AB420" i="3"/>
  <c r="Y542" i="3"/>
  <c r="Y484" i="3"/>
  <c r="AB542" i="3"/>
  <c r="Y420" i="3"/>
  <c r="AB484" i="3"/>
  <c r="AE542" i="3"/>
  <c r="Y356" i="3"/>
  <c r="AB356" i="3"/>
  <c r="Z48" i="2"/>
  <c r="AB446" i="3"/>
  <c r="AB445" i="3"/>
  <c r="AB444" i="3"/>
  <c r="AB443" i="3"/>
  <c r="AB442" i="3"/>
  <c r="AB429" i="3"/>
  <c r="AE418" i="3"/>
  <c r="AB418" i="3"/>
  <c r="Y418" i="3"/>
  <c r="AB382" i="3"/>
  <c r="AB381" i="3"/>
  <c r="AB380" i="3"/>
  <c r="AB379" i="3"/>
  <c r="AB378" i="3"/>
  <c r="AB365" i="3"/>
  <c r="AE354" i="3"/>
  <c r="AB354" i="3"/>
  <c r="Y354" i="3"/>
  <c r="AB318" i="3"/>
  <c r="AB317" i="3"/>
  <c r="AB316" i="3"/>
  <c r="AB315" i="3"/>
  <c r="AB314" i="3"/>
  <c r="AB301" i="3"/>
  <c r="AB320" i="3" s="1"/>
  <c r="AE290" i="3"/>
  <c r="AB290" i="3"/>
  <c r="Y290" i="3"/>
  <c r="AB259" i="3"/>
  <c r="AB258" i="3"/>
  <c r="AB257" i="3"/>
  <c r="AB256" i="3"/>
  <c r="AB255" i="3"/>
  <c r="AB254" i="3"/>
  <c r="AB241" i="3"/>
  <c r="AE233" i="3"/>
  <c r="AB233" i="3"/>
  <c r="Y233" i="3"/>
  <c r="AB203" i="3"/>
  <c r="AB202" i="3"/>
  <c r="AB201" i="3"/>
  <c r="AB200" i="3"/>
  <c r="AB199" i="3"/>
  <c r="AB187" i="3"/>
  <c r="AE179" i="3"/>
  <c r="AB179" i="3"/>
  <c r="Y179" i="3"/>
  <c r="AB149" i="3"/>
  <c r="AB148" i="3"/>
  <c r="AB147" i="3"/>
  <c r="AB146" i="3"/>
  <c r="AB134" i="3"/>
  <c r="AE126" i="3"/>
  <c r="AB126" i="3"/>
  <c r="Y126" i="3"/>
  <c r="D119" i="3"/>
  <c r="AB110" i="3"/>
  <c r="AB109" i="3"/>
  <c r="AB108" i="3"/>
  <c r="AB107" i="3"/>
  <c r="AB99" i="3"/>
  <c r="AE94" i="3"/>
  <c r="AB94" i="3"/>
  <c r="Y94" i="3"/>
  <c r="AB84" i="3"/>
  <c r="AB83" i="3"/>
  <c r="AB82" i="3"/>
  <c r="AE78" i="3"/>
  <c r="AB78" i="3"/>
  <c r="Y78" i="3"/>
  <c r="AE77" i="3"/>
  <c r="AB77" i="3"/>
  <c r="Y77" i="3"/>
  <c r="E77" i="3"/>
  <c r="D76" i="3"/>
  <c r="D51" i="3"/>
  <c r="AB50" i="3"/>
  <c r="AB60" i="3" s="1"/>
  <c r="AB48" i="3"/>
  <c r="AB47" i="3"/>
  <c r="AE42" i="3"/>
  <c r="AB42" i="3"/>
  <c r="Y42" i="3"/>
  <c r="AB31" i="3"/>
  <c r="AB30" i="3"/>
  <c r="AB29" i="3"/>
  <c r="E26" i="3"/>
  <c r="AE25" i="3"/>
  <c r="AB25" i="3"/>
  <c r="Y25" i="3"/>
  <c r="D25" i="3"/>
  <c r="AE24" i="3"/>
  <c r="AB24" i="3"/>
  <c r="Y24" i="3"/>
  <c r="E195" i="1"/>
  <c r="I194" i="1"/>
  <c r="F194" i="1"/>
  <c r="E193" i="1"/>
  <c r="E192" i="1"/>
  <c r="I190" i="1"/>
  <c r="F190" i="1"/>
  <c r="E188" i="1"/>
  <c r="I185" i="1"/>
  <c r="F185" i="1"/>
  <c r="E183" i="1"/>
  <c r="E182" i="1"/>
  <c r="E181" i="1"/>
  <c r="I178" i="1"/>
  <c r="F178" i="1"/>
  <c r="I177" i="1"/>
  <c r="F177" i="1"/>
  <c r="I176" i="1"/>
  <c r="F176" i="1"/>
  <c r="E174" i="1"/>
  <c r="E173" i="1"/>
  <c r="E172" i="1"/>
  <c r="I169" i="1"/>
  <c r="F169" i="1"/>
  <c r="E167" i="1"/>
  <c r="E166" i="1"/>
  <c r="E165" i="1"/>
  <c r="I162" i="1"/>
  <c r="F162" i="1"/>
  <c r="E161" i="1"/>
  <c r="E160" i="1"/>
  <c r="E159" i="1"/>
  <c r="E158" i="1"/>
  <c r="I155" i="1"/>
  <c r="F155" i="1"/>
  <c r="E154" i="1"/>
  <c r="E153" i="1"/>
  <c r="E152" i="1"/>
  <c r="E151" i="1"/>
  <c r="F148" i="1"/>
  <c r="E146" i="1"/>
  <c r="E145" i="1"/>
  <c r="E144" i="1"/>
  <c r="E142" i="1"/>
  <c r="E119" i="1"/>
  <c r="J118" i="1"/>
  <c r="E110" i="1"/>
  <c r="E109" i="1"/>
  <c r="E107" i="1"/>
  <c r="E106" i="1"/>
  <c r="M98" i="1"/>
  <c r="I98" i="1"/>
  <c r="F98" i="1"/>
  <c r="E97" i="1"/>
  <c r="J96" i="1"/>
  <c r="E50" i="1"/>
  <c r="E48" i="1"/>
  <c r="E45" i="1"/>
  <c r="E27" i="1"/>
  <c r="E25" i="1"/>
  <c r="E22" i="1"/>
  <c r="Y128" i="4" l="1"/>
  <c r="AB128" i="4"/>
  <c r="AE128" i="4"/>
  <c r="Y292" i="4"/>
  <c r="AB292" i="4"/>
  <c r="AE292" i="4"/>
  <c r="AB96" i="4"/>
  <c r="AB44" i="4"/>
  <c r="Y96" i="4"/>
  <c r="Y44" i="4"/>
  <c r="AE96" i="4"/>
  <c r="AE44" i="4"/>
  <c r="AB79" i="4"/>
  <c r="Y79" i="4"/>
  <c r="AE79" i="4"/>
  <c r="AB79" i="3"/>
  <c r="AE79" i="3"/>
  <c r="AB686" i="3"/>
  <c r="AB198" i="4"/>
  <c r="AB624" i="4"/>
  <c r="AB505" i="4"/>
  <c r="AB252" i="4"/>
  <c r="AB440" i="4"/>
  <c r="AB686" i="4"/>
  <c r="AB376" i="4"/>
  <c r="AB312" i="4"/>
  <c r="AB564" i="4"/>
  <c r="AB145" i="4"/>
  <c r="AB663" i="3"/>
  <c r="AB676" i="3" s="1"/>
  <c r="AB663" i="4"/>
  <c r="AB601" i="4"/>
  <c r="AB614" i="4" s="1"/>
  <c r="Y541" i="4"/>
  <c r="AB553" i="4" s="1"/>
  <c r="Y483" i="4"/>
  <c r="AB495" i="4" s="1"/>
  <c r="AE355" i="4"/>
  <c r="AB234" i="4"/>
  <c r="Y95" i="4"/>
  <c r="Y43" i="4"/>
  <c r="Y663" i="4"/>
  <c r="AB675" i="4" s="1"/>
  <c r="Y601" i="4"/>
  <c r="AB613" i="4" s="1"/>
  <c r="AE419" i="4"/>
  <c r="AB355" i="4"/>
  <c r="AB367" i="4" s="1"/>
  <c r="D411" i="4" s="1"/>
  <c r="AE291" i="4"/>
  <c r="Y234" i="4"/>
  <c r="AE180" i="4"/>
  <c r="AE127" i="4"/>
  <c r="AE601" i="4"/>
  <c r="AB541" i="4"/>
  <c r="AB576" i="4" s="1"/>
  <c r="AB483" i="4"/>
  <c r="Y419" i="4"/>
  <c r="AB430" i="4" s="1"/>
  <c r="Y291" i="4"/>
  <c r="Y180" i="4"/>
  <c r="AB43" i="4"/>
  <c r="AE541" i="4"/>
  <c r="AE483" i="4"/>
  <c r="D527" i="4" s="1"/>
  <c r="AB419" i="4"/>
  <c r="AB431" i="4" s="1"/>
  <c r="D475" i="4" s="1"/>
  <c r="Y355" i="4"/>
  <c r="AB366" i="4" s="1"/>
  <c r="AB374" i="4" s="1"/>
  <c r="AB291" i="4"/>
  <c r="AB180" i="4"/>
  <c r="AB127" i="4"/>
  <c r="AE95" i="4"/>
  <c r="AE43" i="4"/>
  <c r="AE663" i="3"/>
  <c r="AE663" i="4"/>
  <c r="AE234" i="4"/>
  <c r="Y127" i="4"/>
  <c r="AB95" i="4"/>
  <c r="AE235" i="4"/>
  <c r="Y181" i="4"/>
  <c r="AB235" i="4"/>
  <c r="Y235" i="4"/>
  <c r="AE181" i="4"/>
  <c r="AB181" i="4"/>
  <c r="AE26" i="4"/>
  <c r="Y26" i="4"/>
  <c r="AB26" i="4"/>
  <c r="AB615" i="4"/>
  <c r="AB514" i="4"/>
  <c r="AB518" i="4" s="1"/>
  <c r="AB515" i="4"/>
  <c r="AB496" i="4"/>
  <c r="AB517" i="4"/>
  <c r="Y663" i="3"/>
  <c r="AB675" i="3" s="1"/>
  <c r="AB684" i="3" s="1"/>
  <c r="AB601" i="3"/>
  <c r="AE601" i="3"/>
  <c r="AB624" i="3"/>
  <c r="Y601" i="3"/>
  <c r="AB613" i="3" s="1"/>
  <c r="D29" i="3"/>
  <c r="AB448" i="3"/>
  <c r="AE128" i="3"/>
  <c r="AE483" i="3"/>
  <c r="AB541" i="3"/>
  <c r="Y541" i="3"/>
  <c r="AB553" i="3" s="1"/>
  <c r="AB564" i="3"/>
  <c r="AE541" i="3"/>
  <c r="AB505" i="3"/>
  <c r="Y26" i="3"/>
  <c r="AB26" i="3"/>
  <c r="AB32" i="3" s="1"/>
  <c r="AE26" i="3"/>
  <c r="Y79" i="3"/>
  <c r="AB483" i="3"/>
  <c r="AE95" i="3"/>
  <c r="Y483" i="3"/>
  <c r="AB495" i="3" s="1"/>
  <c r="AB62" i="3"/>
  <c r="D56" i="3"/>
  <c r="AB128" i="3"/>
  <c r="AB181" i="3"/>
  <c r="D80" i="3"/>
  <c r="AB419" i="3"/>
  <c r="AB291" i="3"/>
  <c r="Y234" i="3"/>
  <c r="AB127" i="3"/>
  <c r="Y95" i="3"/>
  <c r="AB234" i="3"/>
  <c r="AE180" i="3"/>
  <c r="AB95" i="3"/>
  <c r="AB43" i="3"/>
  <c r="Y355" i="3"/>
  <c r="AB366" i="3" s="1"/>
  <c r="AB312" i="3"/>
  <c r="AE419" i="3"/>
  <c r="AE355" i="3"/>
  <c r="AE291" i="3"/>
  <c r="AB180" i="3"/>
  <c r="AB204" i="3" s="1"/>
  <c r="AE127" i="3"/>
  <c r="Y43" i="3"/>
  <c r="I118" i="1"/>
  <c r="Y419" i="3"/>
  <c r="AB430" i="3" s="1"/>
  <c r="AB355" i="3"/>
  <c r="AB367" i="3" s="1"/>
  <c r="D411" i="3" s="1"/>
  <c r="Y291" i="3"/>
  <c r="Y180" i="3"/>
  <c r="Y127" i="3"/>
  <c r="AE43" i="3"/>
  <c r="AE234" i="3"/>
  <c r="AE292" i="3"/>
  <c r="Y292" i="3"/>
  <c r="AB292" i="3"/>
  <c r="AB96" i="3"/>
  <c r="AB44" i="3"/>
  <c r="AE96" i="3"/>
  <c r="AE44" i="3"/>
  <c r="Y96" i="3"/>
  <c r="Y44" i="3"/>
  <c r="AE181" i="3"/>
  <c r="Y235" i="3"/>
  <c r="AB440" i="3"/>
  <c r="AB376" i="3"/>
  <c r="AB252" i="3"/>
  <c r="AB235" i="3"/>
  <c r="Y181" i="3"/>
  <c r="AE235" i="3"/>
  <c r="AB384" i="3"/>
  <c r="D78" i="3"/>
  <c r="AB85" i="3"/>
  <c r="Y128" i="3"/>
  <c r="AB145" i="3"/>
  <c r="AB198" i="3"/>
  <c r="D384" i="4" l="1"/>
  <c r="AB497" i="4"/>
  <c r="D495" i="4"/>
  <c r="D675" i="3"/>
  <c r="AB385" i="4"/>
  <c r="AB263" i="4"/>
  <c r="AB554" i="4"/>
  <c r="D613" i="4"/>
  <c r="AB242" i="4"/>
  <c r="AB251" i="4" s="1"/>
  <c r="D553" i="4"/>
  <c r="D512" i="4"/>
  <c r="AB636" i="4"/>
  <c r="D631" i="4"/>
  <c r="AB555" i="4"/>
  <c r="AB449" i="4"/>
  <c r="D465" i="4"/>
  <c r="D447" i="4"/>
  <c r="AB633" i="4"/>
  <c r="AB637" i="4" s="1"/>
  <c r="AB634" i="4"/>
  <c r="AB628" i="4" s="1"/>
  <c r="D571" i="4"/>
  <c r="D430" i="4"/>
  <c r="AB189" i="4"/>
  <c r="D27" i="3"/>
  <c r="AB111" i="4"/>
  <c r="AB685" i="4"/>
  <c r="AB684" i="4"/>
  <c r="AB439" i="4"/>
  <c r="AB438" i="4"/>
  <c r="AB451" i="4" s="1"/>
  <c r="AB623" i="4"/>
  <c r="AB622" i="4"/>
  <c r="AB562" i="4"/>
  <c r="AB563" i="4"/>
  <c r="D676" i="4"/>
  <c r="D711" i="4"/>
  <c r="D694" i="4"/>
  <c r="D675" i="4"/>
  <c r="AB677" i="4"/>
  <c r="AB375" i="4"/>
  <c r="E380" i="4" s="1"/>
  <c r="D320" i="4"/>
  <c r="D338" i="4"/>
  <c r="D303" i="4"/>
  <c r="D402" i="4"/>
  <c r="D367" i="4"/>
  <c r="D710" i="3"/>
  <c r="D676" i="3"/>
  <c r="D711" i="3"/>
  <c r="D694" i="3"/>
  <c r="D693" i="3"/>
  <c r="D366" i="4"/>
  <c r="AB386" i="4"/>
  <c r="AB696" i="4"/>
  <c r="AB693" i="4" s="1"/>
  <c r="AB695" i="4"/>
  <c r="AB699" i="4" s="1"/>
  <c r="D648" i="4"/>
  <c r="AB188" i="4"/>
  <c r="AB197" i="4" s="1"/>
  <c r="D528" i="4"/>
  <c r="D496" i="4"/>
  <c r="D513" i="4"/>
  <c r="AB574" i="4"/>
  <c r="AB568" i="4" s="1"/>
  <c r="AB452" i="4"/>
  <c r="AB677" i="3"/>
  <c r="AB368" i="4"/>
  <c r="D370" i="4" s="1"/>
  <c r="D383" i="4"/>
  <c r="AB46" i="4"/>
  <c r="AB676" i="4"/>
  <c r="D693" i="4"/>
  <c r="AB135" i="4"/>
  <c r="AB144" i="4" s="1"/>
  <c r="D431" i="4"/>
  <c r="D466" i="4"/>
  <c r="D448" i="4"/>
  <c r="D587" i="4"/>
  <c r="D572" i="4"/>
  <c r="D554" i="4"/>
  <c r="D632" i="4"/>
  <c r="D614" i="4"/>
  <c r="D649" i="4"/>
  <c r="D586" i="4"/>
  <c r="AB573" i="4"/>
  <c r="AB577" i="4" s="1"/>
  <c r="AB450" i="4"/>
  <c r="AB432" i="4"/>
  <c r="D434" i="4" s="1"/>
  <c r="AB695" i="3"/>
  <c r="AB699" i="3" s="1"/>
  <c r="D401" i="4"/>
  <c r="AB388" i="4"/>
  <c r="AB106" i="4"/>
  <c r="AB302" i="4"/>
  <c r="AB310" i="4" s="1"/>
  <c r="AB698" i="4"/>
  <c r="D710" i="4"/>
  <c r="D66" i="4"/>
  <c r="AB51" i="4"/>
  <c r="AB52" i="4"/>
  <c r="AB55" i="4"/>
  <c r="D54" i="4"/>
  <c r="AB311" i="4"/>
  <c r="AB100" i="4"/>
  <c r="D112" i="4"/>
  <c r="AB101" i="4"/>
  <c r="D100" i="4"/>
  <c r="AB112" i="4"/>
  <c r="AB114" i="4"/>
  <c r="AB32" i="4"/>
  <c r="D27" i="4"/>
  <c r="AB398" i="4"/>
  <c r="AB302" i="3"/>
  <c r="AB310" i="3" s="1"/>
  <c r="AB512" i="4"/>
  <c r="AB509" i="4"/>
  <c r="AB510" i="4"/>
  <c r="AB511" i="4"/>
  <c r="AB508" i="4"/>
  <c r="AB630" i="4"/>
  <c r="AB627" i="4"/>
  <c r="AB629" i="4"/>
  <c r="AB631" i="4"/>
  <c r="AB243" i="4"/>
  <c r="AB260" i="4"/>
  <c r="D244" i="4"/>
  <c r="AB261" i="4"/>
  <c r="D259" i="4"/>
  <c r="AB244" i="4"/>
  <c r="D275" i="4"/>
  <c r="AB503" i="4"/>
  <c r="AB504" i="4"/>
  <c r="E398" i="4"/>
  <c r="AB204" i="4"/>
  <c r="D205" i="4"/>
  <c r="AB190" i="4"/>
  <c r="D192" i="4"/>
  <c r="AB207" i="4"/>
  <c r="AB205" i="4"/>
  <c r="D219" i="4"/>
  <c r="AB567" i="4"/>
  <c r="D404" i="4"/>
  <c r="D136" i="4"/>
  <c r="D163" i="4"/>
  <c r="AB151" i="4"/>
  <c r="AB136" i="4"/>
  <c r="AB153" i="4"/>
  <c r="AB137" i="4"/>
  <c r="AB150" i="4"/>
  <c r="D149" i="4"/>
  <c r="D78" i="4"/>
  <c r="AB85" i="4"/>
  <c r="D302" i="4"/>
  <c r="AB322" i="4"/>
  <c r="AB304" i="4"/>
  <c r="AB321" i="4"/>
  <c r="AB303" i="4"/>
  <c r="D347" i="4" s="1"/>
  <c r="AB324" i="4"/>
  <c r="D337" i="4"/>
  <c r="D319" i="4"/>
  <c r="AB143" i="4"/>
  <c r="AB685" i="3"/>
  <c r="AB696" i="3"/>
  <c r="AB698" i="3"/>
  <c r="D632" i="3"/>
  <c r="D631" i="3"/>
  <c r="D649" i="3"/>
  <c r="D613" i="3"/>
  <c r="D614" i="3"/>
  <c r="AB633" i="3"/>
  <c r="AB637" i="3" s="1"/>
  <c r="AB615" i="3"/>
  <c r="AB634" i="3"/>
  <c r="AB631" i="3" s="1"/>
  <c r="AB614" i="3"/>
  <c r="D648" i="3"/>
  <c r="AB636" i="3"/>
  <c r="AB623" i="3"/>
  <c r="AB622" i="3"/>
  <c r="D554" i="3"/>
  <c r="D553" i="3"/>
  <c r="D572" i="3"/>
  <c r="AB497" i="3"/>
  <c r="AB496" i="3"/>
  <c r="D496" i="3"/>
  <c r="D495" i="3"/>
  <c r="D528" i="3"/>
  <c r="D513" i="3"/>
  <c r="D587" i="3"/>
  <c r="D586" i="3"/>
  <c r="AB368" i="3"/>
  <c r="AB562" i="3"/>
  <c r="AB563" i="3"/>
  <c r="AB574" i="3"/>
  <c r="AB576" i="3"/>
  <c r="AB554" i="3"/>
  <c r="D571" i="3"/>
  <c r="AB573" i="3"/>
  <c r="AB577" i="3" s="1"/>
  <c r="AB555" i="3"/>
  <c r="D192" i="3"/>
  <c r="D448" i="3"/>
  <c r="AB114" i="3"/>
  <c r="D447" i="3"/>
  <c r="AB137" i="3"/>
  <c r="AB514" i="3"/>
  <c r="D527" i="3"/>
  <c r="D512" i="3"/>
  <c r="AB135" i="3"/>
  <c r="AB143" i="3" s="1"/>
  <c r="D319" i="3"/>
  <c r="AB188" i="3"/>
  <c r="AB196" i="3" s="1"/>
  <c r="AB260" i="3"/>
  <c r="D54" i="3"/>
  <c r="AB51" i="3"/>
  <c r="AB242" i="3"/>
  <c r="AB504" i="3"/>
  <c r="AB503" i="3"/>
  <c r="AB207" i="3"/>
  <c r="AB515" i="3"/>
  <c r="AB517" i="3"/>
  <c r="AB243" i="3"/>
  <c r="D384" i="3"/>
  <c r="D383" i="3"/>
  <c r="AB111" i="3"/>
  <c r="D136" i="3"/>
  <c r="AB304" i="3"/>
  <c r="D275" i="3"/>
  <c r="AB450" i="3"/>
  <c r="D219" i="3"/>
  <c r="D366" i="3"/>
  <c r="AB449" i="3"/>
  <c r="AB150" i="3"/>
  <c r="D66" i="3"/>
  <c r="D431" i="3"/>
  <c r="AB322" i="3"/>
  <c r="AB189" i="3"/>
  <c r="AB431" i="3"/>
  <c r="D475" i="3" s="1"/>
  <c r="D244" i="3"/>
  <c r="D205" i="3"/>
  <c r="AB324" i="3"/>
  <c r="D337" i="3"/>
  <c r="AB101" i="3"/>
  <c r="D303" i="3"/>
  <c r="AB100" i="3"/>
  <c r="D402" i="3"/>
  <c r="D466" i="3"/>
  <c r="D430" i="3"/>
  <c r="D465" i="3"/>
  <c r="AB388" i="3"/>
  <c r="AB386" i="3"/>
  <c r="D259" i="3"/>
  <c r="AB106" i="3"/>
  <c r="AB46" i="3"/>
  <c r="AB153" i="3"/>
  <c r="AB55" i="3"/>
  <c r="AB112" i="3"/>
  <c r="D112" i="3"/>
  <c r="D100" i="3"/>
  <c r="AB438" i="3"/>
  <c r="AB439" i="3"/>
  <c r="D149" i="3"/>
  <c r="AB136" i="3"/>
  <c r="AB52" i="3"/>
  <c r="D163" i="3"/>
  <c r="D338" i="3"/>
  <c r="AB321" i="3"/>
  <c r="AB303" i="3"/>
  <c r="D347" i="3" s="1"/>
  <c r="D320" i="3"/>
  <c r="D302" i="3"/>
  <c r="AB151" i="3"/>
  <c r="D401" i="3"/>
  <c r="AB385" i="3"/>
  <c r="D367" i="3"/>
  <c r="AB205" i="3"/>
  <c r="AB190" i="3"/>
  <c r="AB374" i="3"/>
  <c r="AB375" i="3"/>
  <c r="AB261" i="3"/>
  <c r="AB244" i="3"/>
  <c r="AB263" i="3"/>
  <c r="AB452" i="3"/>
  <c r="AB432" i="3"/>
  <c r="AB323" i="4" l="1"/>
  <c r="AB325" i="4" s="1"/>
  <c r="D322" i="4" s="1"/>
  <c r="AB152" i="4"/>
  <c r="D150" i="4"/>
  <c r="E110" i="4"/>
  <c r="D113" i="4"/>
  <c r="AB113" i="4"/>
  <c r="D52" i="4"/>
  <c r="AB49" i="4"/>
  <c r="AB453" i="4"/>
  <c r="D450" i="4" s="1"/>
  <c r="AB387" i="4"/>
  <c r="AB154" i="4"/>
  <c r="D388" i="4"/>
  <c r="AB115" i="4"/>
  <c r="AB389" i="4"/>
  <c r="D386" i="4" s="1"/>
  <c r="E462" i="4"/>
  <c r="D452" i="4"/>
  <c r="AB399" i="4"/>
  <c r="AB250" i="4"/>
  <c r="AB400" i="4"/>
  <c r="AB569" i="4"/>
  <c r="D576" i="4" s="1"/>
  <c r="AB570" i="4"/>
  <c r="AB585" i="4" s="1"/>
  <c r="AB463" i="4"/>
  <c r="D407" i="4"/>
  <c r="AB571" i="4"/>
  <c r="AB583" i="4" s="1"/>
  <c r="AB196" i="4"/>
  <c r="AB462" i="4"/>
  <c r="AB311" i="3"/>
  <c r="E334" i="3" s="1"/>
  <c r="AB690" i="4"/>
  <c r="AB692" i="4"/>
  <c r="AB709" i="4" s="1"/>
  <c r="E444" i="4"/>
  <c r="AB691" i="4"/>
  <c r="AB689" i="4"/>
  <c r="D468" i="4"/>
  <c r="AB464" i="4"/>
  <c r="D419" i="4" s="1"/>
  <c r="D471" i="4"/>
  <c r="AB689" i="3"/>
  <c r="AB693" i="3"/>
  <c r="D680" i="3" s="1"/>
  <c r="AB692" i="3"/>
  <c r="AB709" i="3" s="1"/>
  <c r="AB691" i="3"/>
  <c r="D276" i="4"/>
  <c r="AB272" i="4"/>
  <c r="D262" i="4"/>
  <c r="D618" i="4"/>
  <c r="AB645" i="4"/>
  <c r="AB647" i="4"/>
  <c r="D652" i="4"/>
  <c r="E645" i="4"/>
  <c r="AB160" i="4"/>
  <c r="D138" i="4"/>
  <c r="D517" i="4"/>
  <c r="AB525" i="4"/>
  <c r="E510" i="4"/>
  <c r="AB524" i="4"/>
  <c r="D499" i="4"/>
  <c r="AB118" i="4"/>
  <c r="D115" i="4"/>
  <c r="D164" i="4"/>
  <c r="D152" i="4"/>
  <c r="AB161" i="4"/>
  <c r="AB162" i="4"/>
  <c r="D167" i="4"/>
  <c r="D306" i="4"/>
  <c r="AB334" i="4"/>
  <c r="AB214" i="4"/>
  <c r="D194" i="4"/>
  <c r="AB271" i="4"/>
  <c r="D246" i="4"/>
  <c r="D531" i="4"/>
  <c r="E524" i="4"/>
  <c r="AB526" i="4"/>
  <c r="AB336" i="4"/>
  <c r="E334" i="4"/>
  <c r="E316" i="4"/>
  <c r="AB53" i="4"/>
  <c r="D67" i="4"/>
  <c r="D64" i="4"/>
  <c r="AB54" i="4"/>
  <c r="E147" i="4"/>
  <c r="E161" i="4"/>
  <c r="AB335" i="4"/>
  <c r="D340" i="4"/>
  <c r="D324" i="4"/>
  <c r="D343" i="4"/>
  <c r="D680" i="4"/>
  <c r="AB707" i="4"/>
  <c r="AB215" i="4"/>
  <c r="D208" i="4"/>
  <c r="D636" i="4"/>
  <c r="E629" i="4"/>
  <c r="AB646" i="4"/>
  <c r="E256" i="4"/>
  <c r="E272" i="4"/>
  <c r="AB273" i="4"/>
  <c r="D279" i="4"/>
  <c r="AB117" i="4"/>
  <c r="D92" i="4" s="1"/>
  <c r="D102" i="4"/>
  <c r="AB56" i="4"/>
  <c r="AB61" i="4" s="1"/>
  <c r="D42" i="4" s="1"/>
  <c r="AB690" i="3"/>
  <c r="AB645" i="3"/>
  <c r="D618" i="3"/>
  <c r="AB512" i="3"/>
  <c r="AB508" i="3"/>
  <c r="AB511" i="3"/>
  <c r="AB510" i="3"/>
  <c r="AB509" i="3"/>
  <c r="AB629" i="3"/>
  <c r="AB627" i="3"/>
  <c r="AB628" i="3"/>
  <c r="AB630" i="3"/>
  <c r="AB568" i="3"/>
  <c r="AB570" i="3"/>
  <c r="AB569" i="3"/>
  <c r="AB571" i="3"/>
  <c r="AB583" i="3" s="1"/>
  <c r="AB567" i="3"/>
  <c r="D450" i="3"/>
  <c r="AB464" i="3"/>
  <c r="D558" i="3"/>
  <c r="D434" i="3"/>
  <c r="D138" i="3"/>
  <c r="D370" i="3"/>
  <c r="AB398" i="3"/>
  <c r="AB160" i="3"/>
  <c r="D306" i="3"/>
  <c r="AB144" i="3"/>
  <c r="AB162" i="3" s="1"/>
  <c r="AB197" i="3"/>
  <c r="E203" i="3" s="1"/>
  <c r="AB250" i="3"/>
  <c r="AB251" i="3"/>
  <c r="E462" i="3"/>
  <c r="AB518" i="3"/>
  <c r="AB334" i="3"/>
  <c r="D102" i="3"/>
  <c r="AB117" i="3"/>
  <c r="D407" i="3"/>
  <c r="AB53" i="3"/>
  <c r="D67" i="3"/>
  <c r="D64" i="3"/>
  <c r="AB54" i="3"/>
  <c r="AB56" i="3" s="1"/>
  <c r="AB61" i="3" s="1"/>
  <c r="D42" i="3" s="1"/>
  <c r="AB387" i="3"/>
  <c r="AB389" i="3" s="1"/>
  <c r="AB399" i="3" s="1"/>
  <c r="D386" i="3"/>
  <c r="D404" i="3"/>
  <c r="E380" i="3"/>
  <c r="D246" i="3"/>
  <c r="AB271" i="3"/>
  <c r="AB214" i="3"/>
  <c r="D194" i="3"/>
  <c r="AB323" i="3"/>
  <c r="AB325" i="3" s="1"/>
  <c r="D324" i="3" s="1"/>
  <c r="D322" i="3"/>
  <c r="D343" i="3"/>
  <c r="AB400" i="3"/>
  <c r="AB49" i="3"/>
  <c r="D52" i="3"/>
  <c r="D471" i="3"/>
  <c r="D468" i="3"/>
  <c r="E444" i="3"/>
  <c r="AB462" i="3"/>
  <c r="E398" i="3"/>
  <c r="AB451" i="3"/>
  <c r="AB453" i="3" s="1"/>
  <c r="D452" i="3" s="1"/>
  <c r="D113" i="3"/>
  <c r="E110" i="3"/>
  <c r="AB113" i="3"/>
  <c r="AB115" i="3" s="1"/>
  <c r="D115" i="3" s="1"/>
  <c r="D355" i="4" l="1"/>
  <c r="AB584" i="4"/>
  <c r="D223" i="4"/>
  <c r="AB206" i="4"/>
  <c r="AB208" i="4" s="1"/>
  <c r="D206" i="4"/>
  <c r="AB262" i="4"/>
  <c r="AB264" i="4" s="1"/>
  <c r="D260" i="4"/>
  <c r="D340" i="3"/>
  <c r="E316" i="3"/>
  <c r="AB336" i="3"/>
  <c r="D69" i="4"/>
  <c r="E569" i="4"/>
  <c r="D558" i="4"/>
  <c r="E583" i="4"/>
  <c r="AB216" i="4"/>
  <c r="D590" i="4"/>
  <c r="D220" i="4"/>
  <c r="E203" i="4"/>
  <c r="E217" i="4"/>
  <c r="D171" i="4"/>
  <c r="D698" i="4"/>
  <c r="D714" i="4"/>
  <c r="D714" i="3"/>
  <c r="E707" i="4"/>
  <c r="AB708" i="4"/>
  <c r="D663" i="4" s="1"/>
  <c r="E691" i="4"/>
  <c r="E691" i="3"/>
  <c r="D541" i="4"/>
  <c r="D483" i="4"/>
  <c r="D235" i="4"/>
  <c r="D183" i="4"/>
  <c r="D291" i="4"/>
  <c r="D127" i="4"/>
  <c r="D601" i="4"/>
  <c r="D698" i="3"/>
  <c r="D576" i="3"/>
  <c r="AB708" i="3"/>
  <c r="E707" i="3"/>
  <c r="AB707" i="3"/>
  <c r="AB646" i="3"/>
  <c r="D636" i="3"/>
  <c r="AB647" i="3"/>
  <c r="D652" i="3"/>
  <c r="E629" i="3"/>
  <c r="E569" i="3"/>
  <c r="E645" i="3"/>
  <c r="AB584" i="3"/>
  <c r="E583" i="3"/>
  <c r="AB585" i="3"/>
  <c r="D590" i="3"/>
  <c r="AB206" i="3"/>
  <c r="AB208" i="3" s="1"/>
  <c r="AB215" i="3" s="1"/>
  <c r="AB152" i="3"/>
  <c r="AB154" i="3" s="1"/>
  <c r="AB161" i="3" s="1"/>
  <c r="D127" i="3" s="1"/>
  <c r="D150" i="3"/>
  <c r="D167" i="3"/>
  <c r="D164" i="3"/>
  <c r="D206" i="3"/>
  <c r="D220" i="3"/>
  <c r="D223" i="3"/>
  <c r="AB216" i="3"/>
  <c r="E217" i="3"/>
  <c r="E272" i="3"/>
  <c r="E147" i="3"/>
  <c r="E256" i="3"/>
  <c r="D276" i="3"/>
  <c r="E161" i="3"/>
  <c r="AB463" i="3"/>
  <c r="D419" i="3" s="1"/>
  <c r="AB118" i="3"/>
  <c r="D92" i="3" s="1"/>
  <c r="D69" i="3"/>
  <c r="AB335" i="3"/>
  <c r="D260" i="3"/>
  <c r="D279" i="3"/>
  <c r="AB262" i="3"/>
  <c r="AB264" i="3" s="1"/>
  <c r="AB272" i="3" s="1"/>
  <c r="AB273" i="3"/>
  <c r="D388" i="3"/>
  <c r="D355" i="3"/>
  <c r="D291" i="3" l="1"/>
  <c r="D208" i="3"/>
  <c r="D152" i="3"/>
  <c r="D663" i="3"/>
  <c r="D601" i="3"/>
  <c r="D541" i="3"/>
  <c r="AB525" i="3"/>
  <c r="E524" i="3"/>
  <c r="AB526" i="3"/>
  <c r="D531" i="3"/>
  <c r="E510" i="3"/>
  <c r="D517" i="3"/>
  <c r="D499" i="3"/>
  <c r="AB524" i="3"/>
  <c r="D183" i="3"/>
  <c r="D171" i="3"/>
  <c r="D235" i="3"/>
  <c r="D262" i="3"/>
  <c r="D483" i="3" l="1"/>
</calcChain>
</file>

<file path=xl/sharedStrings.xml><?xml version="1.0" encoding="utf-8"?>
<sst xmlns="http://schemas.openxmlformats.org/spreadsheetml/2006/main" count="1577" uniqueCount="548">
  <si>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</si>
  <si>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</si>
  <si>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</si>
  <si>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</si>
  <si>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</si>
  <si>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</si>
  <si>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</si>
  <si>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</si>
  <si>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</si>
  <si>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</si>
  <si>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</si>
  <si>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</si>
  <si>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</si>
  <si>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</si>
  <si>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</si>
  <si>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</si>
  <si>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</si>
  <si>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</si>
  <si>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</si>
  <si>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</si>
  <si>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</si>
  <si>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</si>
  <si>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</si>
  <si>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</si>
  <si>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</si>
  <si>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</si>
  <si>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</si>
  <si>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</si>
  <si>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</si>
  <si>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</si>
  <si>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</si>
  <si>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</si>
  <si>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</si>
  <si>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</si>
  <si>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</si>
  <si>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</si>
  <si>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</si>
  <si>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</si>
  <si>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</si>
  <si>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</si>
  <si>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</si>
  <si>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</si>
  <si>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</si>
  <si>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</si>
  <si>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</si>
  <si>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</si>
  <si>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</si>
  <si>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</si>
  <si>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</si>
  <si>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</si>
  <si>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</si>
  <si>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</si>
  <si>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</si>
  <si>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</si>
  <si>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</si>
  <si>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</si>
  <si>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</si>
  <si>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</si>
  <si>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</si>
  <si>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</si>
  <si>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</si>
  <si>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</si>
  <si>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</si>
  <si>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</si>
  <si>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</si>
  <si>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</si>
  <si>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</si>
  <si>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</si>
  <si>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</si>
  <si>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</si>
  <si>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</si>
  <si>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Plafond en zone de couvre feu :</t>
  </si>
  <si>
    <t>Date de création :</t>
  </si>
  <si>
    <t>Plafond hors zone de couvre feu :</t>
  </si>
  <si>
    <t>Ticket modérateur :</t>
  </si>
  <si>
    <t>Aide couvre feu montant :</t>
  </si>
  <si>
    <t>Aide hors couvre feu montant :</t>
  </si>
  <si>
    <t>Aide fermeture administrative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</si>
  <si>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</si>
  <si>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</si>
  <si>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</si>
  <si>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</si>
  <si>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</si>
  <si>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</si>
  <si>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</si>
  <si>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</si>
  <si>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</si>
  <si>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</si>
  <si>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</si>
  <si>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</si>
  <si>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</si>
  <si>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</si>
  <si>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</si>
  <si>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</si>
  <si>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</si>
  <si>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</si>
  <si>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</si>
  <si>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</si>
  <si>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</si>
  <si>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</si>
  <si>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</si>
  <si>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</si>
  <si>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Perte de chiffre d'affaire au mois de Novembre :</t>
  </si>
  <si>
    <t>Plafond</t>
  </si>
  <si>
    <t>Perte et ticket modérateur :</t>
  </si>
  <si>
    <t>de</t>
  </si>
  <si>
    <t>à</t>
  </si>
  <si>
    <t>(new**) : Activité ajoutée sur le Décret 2020-1620 du 19 Décembre 2020</t>
  </si>
  <si>
    <t>(new**) Magasins de souvenirs et de piété</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</si>
  <si>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</si>
  <si>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</si>
  <si>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</si>
  <si>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</si>
  <si>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</si>
  <si>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</si>
  <si>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</si>
  <si>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</si>
  <si>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</si>
  <si>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</si>
  <si>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</si>
  <si>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</si>
  <si>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</si>
  <si>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</si>
  <si>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</si>
  <si>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</si>
  <si>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</si>
  <si>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</si>
  <si>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</si>
  <si>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</si>
  <si>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</si>
  <si>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</si>
  <si>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</si>
  <si>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</si>
  <si>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</si>
  <si>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</si>
  <si>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</si>
  <si>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</si>
  <si>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</si>
  <si>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</si>
  <si>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</si>
  <si>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</si>
  <si>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</si>
  <si>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</si>
  <si>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</si>
  <si>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</si>
  <si>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</si>
  <si>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</si>
  <si>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</si>
  <si>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</si>
  <si>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</si>
  <si>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</si>
  <si>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</si>
  <si>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</si>
  <si>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</si>
  <si>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</si>
  <si>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</si>
  <si>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</si>
  <si>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</si>
  <si>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</si>
  <si>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</si>
  <si>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</si>
  <si>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</si>
  <si>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</si>
  <si>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</si>
  <si>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</si>
  <si>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</si>
  <si>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</si>
  <si>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</si>
  <si>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</si>
  <si>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</si>
  <si>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</si>
  <si>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</si>
  <si>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</si>
  <si>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</si>
  <si>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</si>
  <si>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</si>
  <si>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</si>
  <si>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</si>
  <si>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</si>
  <si>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</si>
  <si>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</si>
  <si>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</si>
  <si>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</si>
  <si>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</si>
  <si>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</si>
  <si>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</si>
  <si>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</si>
  <si>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</si>
  <si>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</si>
  <si>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</si>
  <si>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</si>
  <si>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</si>
  <si>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</si>
  <si>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</si>
  <si>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</si>
  <si>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</si>
  <si>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</si>
  <si>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</si>
  <si>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</si>
  <si>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</si>
  <si>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</si>
  <si>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</si>
  <si>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</si>
  <si>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</si>
  <si>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</si>
  <si>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</si>
  <si>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</si>
  <si>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</si>
  <si>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</si>
  <si>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</si>
  <si>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</si>
  <si>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</si>
  <si>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</si>
  <si>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</si>
  <si>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</si>
  <si>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</si>
  <si>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</si>
  <si>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</si>
  <si>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</si>
  <si>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</si>
  <si>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</si>
  <si>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</si>
  <si>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</si>
  <si>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</si>
  <si>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</si>
  <si>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</si>
  <si>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</si>
  <si>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</si>
  <si>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</si>
  <si>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</si>
  <si>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</si>
  <si>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</si>
  <si>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</si>
  <si>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</si>
  <si>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</si>
  <si>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</si>
  <si>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</si>
  <si>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</si>
  <si>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</si>
  <si>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</si>
  <si>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</si>
  <si>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</si>
  <si>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</si>
  <si>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</si>
  <si>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</si>
  <si>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</si>
  <si>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</si>
  <si>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</si>
  <si>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</si>
  <si>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</si>
  <si>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</si>
  <si>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</si>
  <si>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</si>
  <si>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</si>
  <si>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</si>
  <si>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</si>
  <si>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</si>
  <si>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</si>
  <si>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</si>
  <si>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</si>
  <si>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</si>
  <si>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</si>
  <si>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</si>
  <si>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</si>
  <si>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</si>
  <si>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</si>
  <si>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</si>
  <si>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</si>
  <si>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</si>
  <si>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</si>
  <si>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</si>
  <si>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</si>
  <si>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</si>
  <si>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</si>
  <si>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</si>
  <si>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</si>
  <si>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</si>
  <si>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</si>
  <si>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</si>
  <si>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</si>
  <si>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</si>
  <si>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</si>
  <si>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</si>
  <si>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</si>
  <si>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</si>
  <si>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</si>
  <si>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</si>
  <si>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</si>
  <si>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</si>
  <si>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</si>
  <si>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</si>
  <si>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</si>
  <si>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</si>
  <si>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</si>
  <si>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</si>
  <si>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</si>
  <si>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</si>
  <si>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</si>
  <si>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</si>
  <si>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</si>
  <si>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</si>
  <si>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</si>
  <si>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</si>
  <si>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</si>
  <si>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</si>
  <si>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</si>
  <si>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</si>
  <si>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</si>
  <si>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</si>
  <si>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</si>
  <si>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</si>
  <si>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</si>
  <si>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</si>
  <si>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</si>
  <si>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Centre commercial</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</si>
  <si>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</si>
  <si>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</si>
  <si>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</si>
  <si>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</si>
  <si>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</si>
  <si>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</si>
  <si>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</si>
  <si>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</si>
  <si>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</si>
  <si>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</si>
  <si>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</si>
  <si>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</si>
  <si>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</si>
  <si>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</si>
  <si>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</si>
  <si>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</si>
  <si>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</si>
  <si>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</si>
  <si>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</si>
  <si>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</si>
  <si>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</si>
  <si>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</si>
  <si>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</si>
  <si>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</si>
  <si>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</si>
  <si>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</si>
  <si>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</si>
  <si>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</si>
  <si>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(new****) : Activité ajoutée sur le Décret 2021-256 09 Mars 2021</t>
  </si>
  <si>
    <t>Mars</t>
  </si>
  <si>
    <t>Avril</t>
  </si>
  <si>
    <t>Mai</t>
  </si>
  <si>
    <t>Juin</t>
  </si>
  <si>
    <t>Recettes</t>
  </si>
  <si>
    <t>+</t>
  </si>
  <si>
    <t>-</t>
  </si>
  <si>
    <t>Subvention (dont FDS)</t>
  </si>
  <si>
    <t>Achats consommés</t>
  </si>
  <si>
    <t>Consommations en provenance de tiers </t>
  </si>
  <si>
    <t>Charges de personnel</t>
  </si>
  <si>
    <t>Impôts et taxes et versements assimilés</t>
  </si>
  <si>
    <t>L'excédent brut d'exploitation - EBE</t>
  </si>
  <si>
    <t>=</t>
  </si>
  <si>
    <t>Aides complémentaires</t>
  </si>
  <si>
    <t>Prise en charge des coûts fixes du mois de Janvier :</t>
  </si>
  <si>
    <t>- Avoir débuté son activité avant le 01 Janvier 2019 ;</t>
  </si>
  <si>
    <t>þ</t>
  </si>
  <si>
    <t>ý</t>
  </si>
  <si>
    <t>- Avoir perdu plus de 10 % de sonc CA entre 2020 et 2019 ;</t>
  </si>
  <si>
    <t>- Avoir réalisé plus d’1 M€ de chiffre d’affaires mensuel ou 12 M€ de chiffre d’affaires annuel ;</t>
  </si>
  <si>
    <t>- justifié d’une perte d’au moins 50 % de CA en janvier 2021 ;</t>
  </si>
  <si>
    <t>(Activité non mentionnée)</t>
  </si>
  <si>
    <t xml:space="preserve">Ce dispositif vise à prendre en charge les coûts fixes des entreprises qui ne sont pas couverts par leurs recettes, leurs assurances ou les aides publiques. </t>
  </si>
  <si>
    <t>A noter que certaines petites entreprises ont des coûts fixes plus élevés et que la moyenne et insuffisamment couverts par le fonds de solidarité, le dispositif sera également ouvert aux entreprises de certains secteurs sans critère de chiffre d’affaires, pour ces entreprises il convient de mentionner le secteur depuis la liste déroulante ci-dessous.</t>
  </si>
  <si>
    <t>Pour les petites entreprises :</t>
  </si>
  <si>
    <t>Nombre de salariés :</t>
  </si>
  <si>
    <t>Calcul de l'aide :</t>
  </si>
  <si>
    <t>JANVIER</t>
  </si>
  <si>
    <t>MARS</t>
  </si>
  <si>
    <t>AVRIL</t>
  </si>
  <si>
    <t>MAI</t>
  </si>
  <si>
    <t>JUIN</t>
  </si>
  <si>
    <t>Mois</t>
  </si>
  <si>
    <t>cumul</t>
  </si>
  <si>
    <t>Total du Bilan :</t>
  </si>
  <si>
    <t>FEVRIER</t>
  </si>
  <si>
    <t>- Mars :</t>
  </si>
  <si>
    <t>Aides du fonds de solidarité du mois de Mars :</t>
  </si>
  <si>
    <t>Pré-requis pour les entreprises nouvelles : avoir débuté son activité avant le 31 Décembre 2020</t>
  </si>
  <si>
    <t>À cocher en cas d'exercice principal dans le commerce de détail avec au moins un des magasins en centre de commercial (&gt; 20 000 m² ou 10 000 m² à partir de Mars 2021) avec Fermeture administrative</t>
  </si>
  <si>
    <t>Mars 2</t>
  </si>
  <si>
    <t>De Mars 2019 :</t>
  </si>
  <si>
    <r>
      <t xml:space="preserve">À cocher en cas de fermeture administrative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</si>
  <si>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À cocher en cas de fermeture administrative en Février 2021</t>
    </r>
    <r>
      <rPr>
        <b/>
        <sz val="8"/>
        <color rgb="FF0D4174"/>
        <rFont val="Calibri"/>
        <family val="2"/>
        <scheme val="minor"/>
      </rPr>
      <t xml:space="preserve"> &amp; avoir subi une perte d'au moins 20 % sur la période (le CA réalisé sur les activités de vente à distance avec retrait en magasin ou livraison sont à prendre en compte pour le calcul de la perte)</t>
    </r>
  </si>
  <si>
    <r>
      <t xml:space="preserve">À cocher en cas de fermeture administrative au cours d'une ou plusieurs périodes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</si>
  <si>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Ces aides prévues à l'article 3-24 ne sont pas cumulables au titre du mois de Mars 2021</t>
  </si>
  <si>
    <t>* Aide de 1 500 € maximum en cas de perte d'au-moins 50 % du CA de Mars 2021</t>
  </si>
  <si>
    <t>Ou être en fermeture administrative au cours d'une ou plusieurs périodes et avoir subi une perte inférieure à 50% sur la période</t>
  </si>
  <si>
    <t>CA de référence en € :</t>
  </si>
  <si>
    <t>Fermeture partielle Administrative et 20 % de perte</t>
  </si>
  <si>
    <t>Pour les entreprises domiciliées à Mayotte, l'aide est plafonnée à 3000 €.</t>
  </si>
  <si>
    <t>* Aide de 10 000 € maximum en cas de fermeture Administrative avec 20 % de perte de CA, ou avoir une perte d'au moins 50 % et avoir une fermeture administrative partielle sur le mois, être l'une des activités mentionnées en annexe 1, ou en annexe 2 ou 3 ou dans un centre commercial mais avec une perte de CA d'au moins 80 % entre le 15/03/2020 et le 15/05/2020 ou au mois de Novembre 2020 ou une perte de 10 % entre 2019 et 2020</t>
  </si>
  <si>
    <t>A noter que concernant le CA de référence, il convient de choisir l'option retenue par l'entreprise, en cas de demande au titre du mois Février 2021</t>
  </si>
  <si>
    <t>* Aide de 15 à 20 % du CA maximum en cas de fermeture Administrative avec 20 % de perte de CA, où avoir une perte d'au moins 50 % ou 70 % et avoir une fermeture administrative partielle sur le mois, être l'une des activités mentionnées en annexe 1, ou en annexe 2 ou 3 ou dans un centre commercial et avec une perte de CA d'au moins 80 % entre le 15/03/2020 et le 15/05/2020 ou au mois de Novembre 2020 ou une perte de 10 % entre 2019 et 2020</t>
  </si>
  <si>
    <t>Aide de 15 à 20 % du CA de réf :</t>
  </si>
  <si>
    <t xml:space="preserve"> * Aide pour les entreprises domiciliées dans des zones ayant subi des mesures de couvre-feu de 21H-6H avec une perte de CA d'au moins 50% du CA en Octobre :</t>
  </si>
  <si>
    <t>Diff entre CA de réf et perte :</t>
  </si>
  <si>
    <t xml:space="preserve"> * Aide pour les entreprises domiciliées hors des zones ayant subi des mesures de couvre-feu mais ayant une perte de CA d'au moins 50 % ou 70% du CA en Octobre :</t>
  </si>
  <si>
    <t>(new***) 121- Fabrication de matériel de levage et de manutention lorsqu’au moins 50 % du chiffre d’affaires est réalisé avec une personne morale qui exploite des remontées mécaniques au sens de l’Art. L342-7 du Code du Tourisme ou (depuis le 10/04/21) des entreprises du secteur des domaines skiables</t>
  </si>
  <si>
    <t>(new***) 122- Fabrication de charpentes et autres menuiseries lorsqu’au moins 50 % du chiffre d’affaires est réalisé avec une personne morale qui exploite des remontées mécaniques au sens de l’Art. L342-7 du Code du Tourisme ou (depuis le 10/04/21) des entreprises du secteur des domaines skiables</t>
  </si>
  <si>
    <t>(new***) 123- Services d’architecture lorsqu’au moins 50 % du chiffre d’affaires est réalisé avec une personne morale qui exploite des remontées mécaniques au sens de l’Art. L342-7 du Code du Tourisme ou (depuis le 10/04/21) des entreprises du secteur des domaines skiables</t>
  </si>
  <si>
    <t>(new***) 124- Activités d’ingénierie lorsqu’au moins 50 % du chiffre d’affaires est réalisé avec une personne morale qui exploite des remontées mécaniques au sens de l’Art. L342-7 du Code du Tourisme ou (depuis le 10/04/21) des entreprises du secteur des domaines skiables</t>
  </si>
  <si>
    <t>(new***) 125- Fabrication d’autres articles en caoutchouc lorsqu’au moins 50 % du chiffre d’affaires est réalisé avec une personne morale qui exploite des remontées mécaniques au sens de l’Art. L342-7 du Code du Tourisme ou (depuis le 10/04/21) des entreprises du secteur des domaines skiables</t>
  </si>
  <si>
    <t>(new***) 126- Réparation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</si>
  <si>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(new***) 127- Fabrication d’autres machines d’usage général lorsqu’au moins 50 % du chiffre d’affaires est réalisé avec une personne morale qui exploite des remontées mécaniques au sens de l’Art. L342-7 du Code du Tourisme ou (depuis le 10/04/21) des entreprises du secteur des domaines skiables</t>
  </si>
  <si>
    <t>(new***) 128- Installation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</si>
  <si>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Prise en charge des coûts fixes du mois de Février :</t>
  </si>
  <si>
    <t>- justifié d’une perte d’au moins 50 % de CA en Février 2021 ;</t>
  </si>
  <si>
    <t xml:space="preserve">- Avoir un excédent brut d’exploitation négatif sur la période de Février 2021 ; </t>
  </si>
  <si>
    <t xml:space="preserve">- Avoir un excédent brut d’exploitation négatif sur la période de Janvier 2021 ; </t>
  </si>
  <si>
    <t>L'activité est exercée dans un centre commercial :</t>
  </si>
  <si>
    <t>Prise en charge des coûts fixes du mois de Mars :</t>
  </si>
  <si>
    <t>Prise en charge des coûts fixes du mois de Avril :</t>
  </si>
  <si>
    <t>Prise en charge des coûts fixes du mois de Mai :</t>
  </si>
  <si>
    <t>Prise en charge des coûts fixes du mois de Juin :</t>
  </si>
  <si>
    <t>* Aide de 15 à 20 % du CA maximum en cas de fermeture Administrative avec 20 % de perte de CA, ou est l'une des activités mentionnées en annexe 1 avec une perte d'au moins 50 %, ou en annexe 2 avec une perte d'au moins 50 % ou 3 ou dans un centre commercial avec une perte d'au moins 70 % et avec une perte de CA d'au moins 80 % entre le 15/03/2020 et le 15/05/2020, au mois de Novembre 2020 ou une perte de 10 % entre 2019 et 2020</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</si>
  <si>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au mois de Novembre 2020 ou une perte de 10 % entre 2019 et 2020</t>
  </si>
  <si>
    <t>Restauration traditionnelle domicilée dans une communementionnée à l'annexe 3 du décret du 30 mars 2020 relatif au fonds de solidarité</t>
  </si>
  <si>
    <t>Hôtels et hébergements similaires domicilée dans une communementionnée à l'annexe 3 du décret du 30 mars 2020 relatif au fonds de solidarité</t>
  </si>
  <si>
    <t>Hébergement touristique et autre hébergement de courte durée domicilée dans une communementionnée à l'annexe 3 du décret du 30 mars 2020 relatif au fonds de solidarité</t>
  </si>
  <si>
    <t>Salles de sport</t>
  </si>
  <si>
    <t>Salles de loisir intérieurs</t>
  </si>
  <si>
    <t>Jardins et parcs zoologiques</t>
  </si>
  <si>
    <t>Thermalisme</t>
  </si>
  <si>
    <t>Activités des parcs d'attractions et parcs à thèmes</t>
  </si>
  <si>
    <t>- Notre résumé des décrets sur le fond de solidarité (lien ici)</t>
  </si>
  <si>
    <t>- Le décret 2021-422 du 10/04/2021 (lien ici)</t>
  </si>
  <si>
    <t>- Le décret 2020-371 MAJ 12/04/2021 (lien ici)</t>
  </si>
  <si>
    <t>Chiffre d'affaire du groupe :</t>
  </si>
  <si>
    <t>Aides du fonds de solidarité du mois de Avril :</t>
  </si>
  <si>
    <t>Pré-requis pour les entreprises nouvelles : avoir débuté son activité avant le 31 Janvier 2021</t>
  </si>
  <si>
    <t>Ou être en fermeture administrative entre le 1er et le 30 Avril et avoir subi une perte inférieure à 50% sur la période</t>
  </si>
  <si>
    <r>
      <t xml:space="preserve">À cocher en cas de fermeture administrative en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</si>
  <si>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 xml:space="preserve">À cocher en cas de fermeture administrative entre le 1er et 30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</si>
  <si>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Avril2</t>
  </si>
  <si>
    <t>- Avril :</t>
  </si>
  <si>
    <t>Ces aides prévues à l'article 3-26 ne sont pas cumulables au titre du mois d'Avril 2021</t>
  </si>
  <si>
    <t>* Aide de 1 500 € maximum en cas de perte d'au-moins 50 % du CA d'Avril 2021</t>
  </si>
  <si>
    <t>A noter que concernant le CA de référence, il convient de choisir l'option retenue par l'entreprise, en cas de demande au titre du mois Février 2021, ou à défaut celui de Mars 2021</t>
  </si>
  <si>
    <t>D'Avril 2019 :</t>
  </si>
  <si>
    <t>- Avoir débuté son activité avant le 01 Mars 2019 ;</t>
  </si>
  <si>
    <t>- justifié d’une perte d’au moins 50 % de CA en Mars 2021 ;</t>
  </si>
  <si>
    <t xml:space="preserve">- Avoir un excédent brut d’exploitation négatif sur la période de Mars 2021 ; </t>
  </si>
  <si>
    <t>- justifié d’une perte d’au moins 50 % de CA en Avril 2021 ;</t>
  </si>
  <si>
    <t xml:space="preserve">- Avoir un excédent brut d’exploitation négatif sur la période de Avril 2021 ; </t>
  </si>
  <si>
    <t>À cocher en cas d'exercice principal dans le commerce de détail,  à l'exception des autombiles et des motocycles, ou dans la réparation et maintenance Navale et sont domiciliées à la Réunion, la Guadeloupe, la Martinique, Saint-Martin, Saint-Barthélemy ou en Polynésie française</t>
  </si>
  <si>
    <t>Outre-mer</t>
  </si>
  <si>
    <t>* Aide de 10 000 € maximum en cas de fermeture Administrative avec 20 % de perte de CA, ou avoir une perte d'au moins 50 % et avoir une fermeture administrative entre le 1er et le 30 Avril, être l'une des activités mentionnées en annexe 1, ou en annexe 2 ou 3 ou dans un centre commercial, ou domicilié dans certaines îles d'outre-mer, mais avec une perte de CA d'au moins 80 % entre le 15/03/2020 et le 15/05/2020 ou au mois de Novembre 2020 ou une perte de 10 % entre 2019 et 2020</t>
  </si>
  <si>
    <t>* Aide de 15 à 20 % du CA maximum en cas de fermeture Administrative avec 20 % de perte de CA, où avoir une perte d'au moins 50 % ou 70 % et avoir une fermeture administrative entre le 1er et 30 Avril, être l'une des activités mentionnées en annexe 1, ou en annexe 2 ou 3 ou dans un centre commercial, ou domicilié dans certaines îles d'outre-mer, et avec une perte de CA d'au moins 80 % entre le 15/03/2020 et le 15/05/2020 ou au mois de Novembre 2020 ou une perte de 10 % entre 2019 et 2020</t>
  </si>
  <si>
    <t>L'activité est mentionnées en annexe 3 ou centre commercial outre-mer :</t>
  </si>
  <si>
    <t>L'activité est mentionnées en annexe 3 ou centre commercial, outre-mer :</t>
  </si>
  <si>
    <r>
      <t xml:space="preserve">À cocher en cas de fermeture administrative entre le 1er et 31 Mai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</si>
  <si>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 xml:space="preserve">À cocher en cas de fermeture administrative en Mai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</si>
  <si>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Mai2</t>
  </si>
  <si>
    <t>- Mai :</t>
  </si>
  <si>
    <t>De Mai 2019 :</t>
  </si>
  <si>
    <t>Aides du fonds de solidarité du mois de Mai :</t>
  </si>
  <si>
    <t>A noter que concernant le CA de référence, il convient de choisir l'option retenue par l'entreprise, en cas de demande au titre du mois Février 2021, ou à défaut celui de Mars , Avril 2021</t>
  </si>
  <si>
    <t>* Aide de 1 500 € maximum en cas de perte d'au-moins 50 % du CA de Mai 2021</t>
  </si>
  <si>
    <t>* Aide de 15 à 20 % du CA maximum en cas de fermeture Administrative avec 20 % de perte de CA, où avoir une perte d'au moins 50 % ou 70 % et avoir une fermeture administrative entre le 1er et 31 Mai, être l'une des activités mentionnées en annexe 1, ou en annexe 2 ou 3 ou dans un centre commercial, ou domicilié dans certaines îles d'outre-mer, et avec une perte de CA d'au moins 80 % entre le 15/03/2020 et le 15/05/2020 ou au mois de Novembre 2020 ou une perte de 10 % entre 2019 et 2020</t>
  </si>
  <si>
    <t>* Aide de 10 000 € maximum en cas de fermeture Administrative avec 20 % de perte de CA, ou avoir une perte d'au moins 50 % et avoir une fermeture administrative entre le 1er et le 31 Mai, être l'une des activités mentionnées en annexe 1, ou en annexe 2 ou 3 ou dans un centre commercial, ou domicilié dans certaines îles d'outre-mer, mais avec une perte de CA d'au moins 80 % entre le 15/03/2020 et le 15/05/2020 ou au mois de Novembre 2020 ou une perte de 10 % entre 2019 et 2020</t>
  </si>
  <si>
    <t>Ou être en fermeture administrative entre le 1er et le 31 Mai et avoir subi une perte inférieure à 50% sur la période</t>
  </si>
  <si>
    <t>- Juin :</t>
  </si>
  <si>
    <t>- Juillet :</t>
  </si>
  <si>
    <t>Juillet</t>
  </si>
  <si>
    <t>Aides du fonds de solidarité du mois de Juin :</t>
  </si>
  <si>
    <t>Ces aides prévues à l'article 3-27 ne sont pas cumulables au titre du mois de Mai 2021</t>
  </si>
  <si>
    <r>
      <t xml:space="preserve">À cocher en cas de fermeture administrative en Juin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</si>
  <si>
    <r>
      <t xml:space="preserve">À cocher en cas de fermeture administrative en Juillet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</si>
  <si>
    <t>L'activité est en outre-mer :</t>
  </si>
  <si>
    <t>De Juin 2019 :</t>
  </si>
  <si>
    <t>Ces aides prévues à l'article 3-28 ne sont pas cumulables au titre du mois de Juin 2021</t>
  </si>
  <si>
    <t>Aide de 40 % :</t>
  </si>
  <si>
    <t>Aide de 20 % :</t>
  </si>
  <si>
    <t>* Aide de 20 % du CA en cas de fermeture Administrative avec 20 % de perte de CA</t>
  </si>
  <si>
    <t>- Avoir débuté son activité avant le 01 Mai 2019 ;</t>
  </si>
  <si>
    <t>- justifié d’une perte d’au moins 50 % de CA en Mai 2021 ;</t>
  </si>
  <si>
    <t>Aides du fonds de solidarité du mois de Juillet :</t>
  </si>
  <si>
    <t>Ces aides prévues à l'article 3-28 ne sont pas cumulables au titre du mois de Juillet 2021</t>
  </si>
  <si>
    <t>De Juillet 2019 :</t>
  </si>
  <si>
    <t>* Aide de 1 500 € maximum en cas de fermeture administrative d'au moins 10 jours et d'une perte d'au-moins 50 % du CA de Juin 2021</t>
  </si>
  <si>
    <t>À cocher en cas de fermeture administrative d'au moins 10 jours en Juin 2021</t>
  </si>
  <si>
    <t>À cocher en cas de fermeture administrative d'au moins 10 jours en Juillet 2021</t>
  </si>
  <si>
    <t>Juin2</t>
  </si>
  <si>
    <t>Juillet2</t>
  </si>
  <si>
    <t>Fermeture Administrative et 20 % de perte :</t>
  </si>
  <si>
    <t>Fermeture Administrative d'au moins 10 jours :</t>
  </si>
  <si>
    <t>* Aide de 1 500 € maximum en cas de fermeture administrative d'au moins 10 jours et d'une perte d'au-moins 50 % du CA de Juillet 2021</t>
  </si>
  <si>
    <t>A noter que concernant le CA de référence, il convient de choisir l'option retenue par l'entreprise, en cas de demande au titre du mois Février, ou à défaut celui de Mars , Avril, Mai ou Juin 2021. Il convient également d'avoir bénéficier de l'aide de l'article 3-26 ou de l'article 3-27.</t>
  </si>
  <si>
    <t>A noter que concernant le CA de référence, il convient de choisir l'option retenue par l'entreprise, en cas de demande au titre du mois Février, ou à défaut celui de Mars , Avril ou Mai 2021.Il convient également d'avoir bénéficier de l'aide de l'article 3-26 ou de l'article 3-27.</t>
  </si>
  <si>
    <t>EXPLICATIONS DES AIDES ANNONCÉES 
PAR LE DÉCRET 2020-371</t>
  </si>
  <si>
    <t>Aides du fonds de solidarité du mois d'Août :</t>
  </si>
  <si>
    <t>Ces aides prévues à l'article 3-28 ne sont pas cumulables au titre du mois d'Août 2021</t>
  </si>
  <si>
    <t>A noter que concernant le CA de référence, il convient de choisir l'option retenue par l'entreprise, en cas de demande au titre du mois Février, ou à défaut celui de Mars , Avril, Mai, Juin, Juillet 2021. Il convient également d'avoir bénéficier de l'aide de l'article 3-26 ou de l'article 3-27.</t>
  </si>
  <si>
    <t>D'Août 2019 :</t>
  </si>
  <si>
    <t>- Août :</t>
  </si>
  <si>
    <r>
      <t xml:space="preserve">À cocher en cas de fermeture administrative en Août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</si>
  <si>
    <t>Août</t>
  </si>
  <si>
    <t>Août2</t>
  </si>
  <si>
    <t>Aide de 30 % :</t>
  </si>
  <si>
    <t>Fermeture Administrative d'au moins 8 jours :</t>
  </si>
  <si>
    <t>Août3</t>
  </si>
  <si>
    <r>
      <t xml:space="preserve">À cocher en cas de fermeture administrative d'au moins 8 jours en Août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</si>
  <si>
    <r>
      <t xml:space="preserve">À cocher en cas de fermeture administrative d'au moins 21 jours en Août 2021 </t>
    </r>
    <r>
      <rPr>
        <b/>
        <sz val="8"/>
        <color rgb="FF0D4174"/>
        <rFont val="Calibri"/>
        <family val="2"/>
        <scheme val="minor"/>
      </rPr>
      <t>&amp; avoir subi une perte d'au moins 50 % sur la période (le CA réalisé sur les activités de vente à distance avec retrait en magasin ou livraison sont à prendre en compte pour le calcul de la perte ainsi que pour le calcul de l'aide)</t>
    </r>
  </si>
  <si>
    <t>Fermeture Administrative ou 21 jours et 20 % ou 50 % de perte</t>
  </si>
  <si>
    <t>* Aide de 1 500 € maximum en cas de fermeture administrative d'au moins 8 jours et d'une perte d'au-moins 20 % du CA d'Août 2021</t>
  </si>
  <si>
    <t>* Aide de 20 % du CA en cas de fermeture Administrative avec 20 % de perte de CA ou fermeture Administrative de 21 jours avec 50 % de perte de CA</t>
  </si>
  <si>
    <t>* Aide de 20 % de la perte dans la limite de 20 % du CA de référence, pour les entreprises ayant eu une perte de 10 % de CA* et leur activité mentionnée en annexe 1, ou en annexe 2, avec une perte de CA d'au moins 80 % entre le 15/03/2020 et le 15/05/2020 ou au mois de Novembre 2020 ou une perte de 10 % entre 2019 et 2020, ou domicilié dans certaines îles d'outre-mer</t>
  </si>
  <si>
    <t>* le CA réalisé sur les activités de vente à distance avec retrait en magasin ou livraison sont à prendre en compte pour le calcul de la perte ainsi que pour le calcul de l'aide</t>
  </si>
  <si>
    <t>* Aide de 30 % de la perte dans la limite de 20 % du CA de référence, pour les entreprises ayant eu une perte de 10 % de CA* et leur activité mentionnée en annexe 1, ou en annexe 2, avec une perte de CA d'au moins 80 % entre le 15/03/2020 et le 15/05/2020 ou au mois de Novembre 2020 ou une perte de 10 % entre 2019 et 2020, ou domicilié dans certaines îles d'outre-mer</t>
  </si>
  <si>
    <t>* Aide de 40 % de la perte dans la limite de 20 % du CA de référence, pour les entreprises ayant eu une perte de 10 % de CA* et leur activité mentionnée en annexe 1, ou en annexe 2, avec une perte de CA d'au moins 80 % entre le 15/03/2020 et le 15/05/2020 ou au mois de Novembre 2020 ou une perte de 10 % entre 2019 et 2020, ou domicilié dans certaines îles d'outre-mer</t>
  </si>
  <si>
    <t>*</t>
  </si>
  <si>
    <r>
      <rPr>
        <sz val="11"/>
        <color rgb="FF0D4174"/>
        <rFont val="Calibri"/>
        <family val="2"/>
        <scheme val="minor"/>
      </rPr>
      <t>*</t>
    </r>
    <r>
      <rPr>
        <sz val="8"/>
        <color rgb="FF0D4174"/>
        <rFont val="Calibri"/>
        <family val="2"/>
        <scheme val="minor"/>
      </rPr>
      <t xml:space="preserve"> le CA réalisé sur les activités de vente à distance avec retrait en magasin ou livraison est à prendre en compte</t>
    </r>
  </si>
  <si>
    <t>Prise en charge des coûts fixes du mois de Juillet :</t>
  </si>
  <si>
    <t>Prise en charge des coûts fixes du mois de Août :</t>
  </si>
  <si>
    <t>Prise en charge des coûts fixes du mois de Septembre :</t>
  </si>
  <si>
    <t>Ces aides prévues à l'article 3-28 ne sont pas cumulables au titre du mois de Septembre 2021</t>
  </si>
  <si>
    <t>- Septembre :</t>
  </si>
  <si>
    <t>Septembre2</t>
  </si>
  <si>
    <t>Septembre3</t>
  </si>
  <si>
    <t>A noter que concernant le CA de référence, il convient de choisir l'option retenue par l'entreprise, en cas de demande au titre du mois Février, ou à défaut celui de Mars , Avril, Mai, Juin, Juillet, Août 2021. Il convient également d'avoir bénéficier de l'aide de l'article 3-26 ou de l'article 3-27.</t>
  </si>
  <si>
    <t>* Aide de 1 500 € maximum en cas de fermeture administrative d'au moins 8 jours et d'une perte d'au-moins 20 % du CA de Septembre 2021</t>
  </si>
  <si>
    <t>de Septembre 2019 :</t>
  </si>
  <si>
    <t>En cas de couvre-feu pendant au moins 20 jours, l'aide peut-être de 40 % de la perte dans la limite de 20 % du CA de référence</t>
  </si>
  <si>
    <t>JUILLET</t>
  </si>
  <si>
    <t>AOÛT</t>
  </si>
  <si>
    <t>SEPTEMBRE</t>
  </si>
  <si>
    <t>- justifié d’une perte d’au moins 50 % de CA en Juin 2021 ;</t>
  </si>
  <si>
    <t>- justifié d’une perte d’au moins 50 % de CA en Juillet 2021 ;</t>
  </si>
  <si>
    <t>- justifié d’une perte d’au moins 50 % de CA en Août 2021 ;</t>
  </si>
  <si>
    <t>- justifié d’une perte d’au moins 50 % de CA en Septembre 2021 ;</t>
  </si>
  <si>
    <t xml:space="preserve">- Avoir un excédent brut d’exploitation négatif sur la période de Mai 2021 ; </t>
  </si>
  <si>
    <t xml:space="preserve">- Avoir un excédent brut d’exploitation négatif sur la période de Juin 2021 ; </t>
  </si>
  <si>
    <t xml:space="preserve">- Avoir un excédent brut d’exploitation négatif sur la période de Juillet 2021 ; </t>
  </si>
  <si>
    <t xml:space="preserve">- Avoir un excédent brut d’exploitation négatif sur la période d'Août 2021 ; </t>
  </si>
  <si>
    <t xml:space="preserve">- Avoir un excédent brut d’exploitation négatif sur la période de Septembre 2021 ; </t>
  </si>
  <si>
    <t>- Avoir débuté son activité avant le 01 Juillet 2019 ;</t>
  </si>
  <si>
    <t>- Avoir perçu le fond de solidarité en Juillet 2021 ;</t>
  </si>
  <si>
    <t>- Avoir perçu le fond de solidarité en Août 2021 ;</t>
  </si>
  <si>
    <t>- Avoir perçu le fond de solidarité en Septembre 2021 ;</t>
  </si>
  <si>
    <r>
      <t xml:space="preserve">À cocher en cas de fermeture administrative en Septembre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</si>
  <si>
    <r>
      <t xml:space="preserve">À cocher en cas de fermeture administrative d'au moins 21 jours en Septembre 2021 </t>
    </r>
    <r>
      <rPr>
        <b/>
        <sz val="8"/>
        <color rgb="FF0D4174"/>
        <rFont val="Calibri"/>
        <family val="2"/>
        <scheme val="minor"/>
      </rPr>
      <t>&amp; avoir subi une perte d'au moins 50 % sur la période (le CA réalisé sur les activités de vente à distance avec retrait en magasin ou livraison sont à prendre en compte pour le calcul de la perte ainsi que pour le calcul de l'aide)</t>
    </r>
  </si>
  <si>
    <r>
      <t xml:space="preserve">À cocher en cas de fermeture administrative d'au moins 8 jours en Septembre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 ainsi que pour le calcul de l'aide)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</si>
</sst>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 &quot;€&quot;_-;\-* #,##0\ &quot;€&quot;_-;_-* &quot;-&quot;??\ &quot;€&quot;_-;_-@_-"/>
  </numFmts>
  <fonts count="65">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
      <sz val="12"/>
      <color rgb="FF212529"/>
      <name val="Segoe UI"/>
      <family val="2"/>
    </font>
    <font>
      <b/>
      <sz val="10"/>
      <color theme="0"/>
      <name val="Calibri"/>
      <family val="2"/>
      <scheme val="minor"/>
    </font>
    <font>
      <sz val="11"/>
      <color theme="1"/>
      <name val="Wingdings"/>
      <charset val="2"/>
    </font>
    <font>
      <i/>
      <u/>
      <sz val="11"/>
      <color rgb="FF0D4174"/>
      <name val="Calibri"/>
      <family val="2"/>
      <scheme val="minor"/>
    </font>
    <font>
      <u/>
      <sz val="11"/>
      <color theme="1"/>
      <name val="Calibri"/>
      <family val="2"/>
      <scheme val="minor"/>
    </font>
    <font>
      <b/>
      <sz val="8"/>
      <color rgb="FF0D4174"/>
      <name val="Calibri"/>
      <family val="2"/>
      <scheme val="minor"/>
    </font>
    <font>
      <i/>
      <sz val="10"/>
      <color rgb="FF0D4174"/>
      <name val="Calibri"/>
      <family val="2"/>
      <scheme val="minor"/>
    </font>
    <font>
      <sz val="9"/>
      <color rgb="FF70AD47"/>
      <name val="DIN Light"/>
      <family val="3"/>
    </font>
    <font>
      <b/>
      <i/>
      <sz val="11"/>
      <color theme="0" tint="-0.499984740745262"/>
      <name val="Calibri"/>
      <family val="2"/>
      <scheme val="minor"/>
    </font>
    <font>
      <b/>
      <i/>
      <sz val="8"/>
      <color rgb="FF0D4174"/>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rgb="FFFFFF00"/>
        <bgColor indexed="64"/>
      </patternFill>
    </fill>
    <fill>
      <patternFill patternType="solid">
        <fgColor rgb="FFFFC000"/>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
      <left style="thin">
        <color rgb="FF0D4174"/>
      </left>
      <right/>
      <top style="thin">
        <color rgb="FF0D4174"/>
      </top>
      <bottom style="thin">
        <color rgb="FF0D4174"/>
      </bottom>
      <diagonal/>
    </border>
    <border>
      <left/>
      <right style="thin">
        <color rgb="FF0D4174"/>
      </right>
      <top style="thin">
        <color rgb="FF0D4174"/>
      </top>
      <bottom style="thin">
        <color rgb="FF0D417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D4174"/>
      </top>
      <bottom style="thin">
        <color rgb="FF0D417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623">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15" fillId="0" borderId="0" xfId="0" applyFont="1" applyAlignment="1">
      <alignment vertical="top" wrapText="1"/>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3" fillId="0" borderId="0" xfId="0" applyFont="1" applyBorder="1" applyAlignment="1">
      <alignment horizontal="center" vertical="center" wrapText="1"/>
    </xf>
    <xf numFmtId="0" fontId="27" fillId="0" borderId="0" xfId="0" applyFont="1" applyAlignment="1">
      <alignment horizontal="left"/>
    </xf>
    <xf numFmtId="0" fontId="13" fillId="0" borderId="0" xfId="0" applyFont="1" applyBorder="1" applyAlignment="1">
      <alignment horizontal="center" vertical="center" wrapText="1"/>
    </xf>
    <xf numFmtId="0" fontId="27" fillId="0" borderId="0" xfId="0" applyFont="1" applyAlignment="1">
      <alignment horizontal="left"/>
    </xf>
    <xf numFmtId="0" fontId="30" fillId="0" borderId="0" xfId="0" applyFont="1" applyFill="1" applyBorder="1" applyAlignment="1">
      <alignment horizontal="right" wrapText="1"/>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27" fillId="0" borderId="0" xfId="0" applyFont="1" applyAlignment="1">
      <alignment horizontal="left"/>
    </xf>
    <xf numFmtId="0" fontId="0" fillId="0" borderId="0" xfId="0" applyBorder="1" applyAlignment="1">
      <alignment horizontal="center"/>
    </xf>
    <xf numFmtId="0" fontId="0" fillId="0" borderId="0" xfId="0" applyAlignment="1">
      <alignment horizontal="left" vertical="top" wrapText="1"/>
    </xf>
    <xf numFmtId="0" fontId="0" fillId="0" borderId="18" xfId="0" applyBorder="1"/>
    <xf numFmtId="0" fontId="35" fillId="0" borderId="0" xfId="0" applyFont="1" applyAlignment="1">
      <alignment vertical="center" wrapText="1"/>
    </xf>
    <xf numFmtId="0" fontId="55" fillId="0" borderId="0" xfId="0" applyFont="1" applyAlignment="1">
      <alignment horizontal="left" vertical="center" wrapText="1" indent="1"/>
    </xf>
    <xf numFmtId="0" fontId="0" fillId="0" borderId="0" xfId="0" applyAlignment="1">
      <alignment vertical="top" wrapText="1"/>
    </xf>
    <xf numFmtId="0" fontId="57" fillId="0" borderId="0" xfId="0" applyFont="1"/>
    <xf numFmtId="0" fontId="57" fillId="0" borderId="0" xfId="0" applyFont="1" applyAlignment="1">
      <alignment horizontal="right"/>
    </xf>
    <xf numFmtId="0" fontId="15" fillId="0" borderId="0" xfId="0" quotePrefix="1" applyFont="1"/>
    <xf numFmtId="0" fontId="58" fillId="0" borderId="0" xfId="0" applyFont="1"/>
    <xf numFmtId="0" fontId="59" fillId="0" borderId="0" xfId="0" applyFont="1"/>
    <xf numFmtId="0" fontId="11" fillId="0" borderId="0" xfId="0" applyFont="1" applyFill="1" applyBorder="1" applyAlignment="1">
      <alignment vertical="top" wrapText="1"/>
    </xf>
    <xf numFmtId="0" fontId="12" fillId="0" borderId="0" xfId="0" applyFont="1" applyBorder="1" applyAlignment="1">
      <alignment horizontal="left" vertical="top"/>
    </xf>
    <xf numFmtId="0" fontId="12" fillId="0" borderId="0" xfId="0" applyFont="1" applyAlignment="1">
      <alignment horizontal="left"/>
    </xf>
    <xf numFmtId="0" fontId="15" fillId="0" borderId="0" xfId="0" applyFont="1" applyAlignment="1">
      <alignment horizontal="left"/>
    </xf>
    <xf numFmtId="0" fontId="0" fillId="0" borderId="7" xfId="0" applyBorder="1" applyAlignment="1">
      <alignment horizontal="right"/>
    </xf>
    <xf numFmtId="0" fontId="0" fillId="0" borderId="0"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left"/>
    </xf>
    <xf numFmtId="0" fontId="12" fillId="0" borderId="0" xfId="0" applyFont="1" applyBorder="1" applyAlignment="1">
      <alignment horizontal="left" vertical="top"/>
    </xf>
    <xf numFmtId="0" fontId="0" fillId="0" borderId="0" xfId="0" applyFill="1" applyBorder="1" applyAlignment="1">
      <alignment horizontal="right" vertical="center"/>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30" fillId="0" borderId="0" xfId="0" applyFont="1" applyFill="1" applyBorder="1" applyAlignment="1">
      <alignment horizontal="right" wrapText="1"/>
    </xf>
    <xf numFmtId="0" fontId="13" fillId="0" borderId="0" xfId="0" applyFont="1" applyBorder="1" applyAlignment="1">
      <alignment horizontal="center" vertical="center" wrapText="1"/>
    </xf>
    <xf numFmtId="0" fontId="0" fillId="0" borderId="0" xfId="0" applyBorder="1" applyAlignment="1">
      <alignment horizontal="center"/>
    </xf>
    <xf numFmtId="15" fontId="0" fillId="0" borderId="0" xfId="0" quotePrefix="1" applyNumberFormat="1"/>
    <xf numFmtId="0" fontId="62" fillId="0" borderId="0" xfId="0" applyFont="1" applyFill="1" applyAlignment="1">
      <alignment horizontal="left" vertical="center" indent="5"/>
    </xf>
    <xf numFmtId="43" fontId="0" fillId="6" borderId="0" xfId="4" applyFont="1" applyFill="1"/>
    <xf numFmtId="43" fontId="0" fillId="0" borderId="0" xfId="4" applyFont="1"/>
    <xf numFmtId="43" fontId="1" fillId="6" borderId="0" xfId="4" applyFont="1" applyFill="1"/>
    <xf numFmtId="0" fontId="0" fillId="7" borderId="0" xfId="0" applyFill="1"/>
    <xf numFmtId="0" fontId="0" fillId="0" borderId="12" xfId="0" applyBorder="1"/>
    <xf numFmtId="0" fontId="63" fillId="0" borderId="0" xfId="0" applyFont="1"/>
    <xf numFmtId="1" fontId="12" fillId="5" borderId="42" xfId="0" applyNumberFormat="1" applyFont="1" applyFill="1" applyBorder="1" applyAlignment="1" applyProtection="1">
      <alignment vertical="top" wrapText="1"/>
      <protection locked="0"/>
    </xf>
    <xf numFmtId="0" fontId="0" fillId="0" borderId="0" xfId="0" applyProtection="1">
      <protection locked="0"/>
    </xf>
    <xf numFmtId="0" fontId="27" fillId="0" borderId="0" xfId="0" applyFont="1" applyBorder="1" applyAlignment="1">
      <alignment horizontal="left"/>
    </xf>
    <xf numFmtId="0" fontId="15" fillId="0" borderId="0" xfId="0" applyFont="1" applyAlignment="1">
      <alignment horizontal="left"/>
    </xf>
    <xf numFmtId="0" fontId="12" fillId="0" borderId="0" xfId="0" applyFont="1" applyBorder="1" applyAlignment="1">
      <alignment horizontal="left" vertical="top"/>
    </xf>
    <xf numFmtId="0" fontId="30" fillId="0" borderId="0" xfId="0" applyFont="1" applyFill="1" applyBorder="1" applyAlignment="1">
      <alignment horizontal="right" wrapText="1"/>
    </xf>
    <xf numFmtId="0" fontId="0" fillId="0" borderId="0" xfId="0" applyFill="1" applyBorder="1" applyAlignment="1">
      <alignment horizontal="right" vertical="center"/>
    </xf>
    <xf numFmtId="0" fontId="30" fillId="0" borderId="0" xfId="0" applyFont="1" applyBorder="1" applyAlignment="1">
      <alignment horizontal="right"/>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0" fillId="0" borderId="0" xfId="0" applyFill="1" applyBorder="1" applyAlignment="1">
      <alignment horizontal="right"/>
    </xf>
    <xf numFmtId="0" fontId="0" fillId="0" borderId="0" xfId="0" applyBorder="1" applyAlignment="1">
      <alignment horizontal="center"/>
    </xf>
    <xf numFmtId="17" fontId="0" fillId="0" borderId="0" xfId="0" quotePrefix="1" applyNumberFormat="1"/>
    <xf numFmtId="0" fontId="64" fillId="0" borderId="0" xfId="0" applyFont="1"/>
    <xf numFmtId="0" fontId="12" fillId="0" borderId="0" xfId="0" applyFont="1" applyBorder="1" applyAlignment="1">
      <alignment horizontal="left" vertical="top"/>
    </xf>
    <xf numFmtId="0" fontId="27" fillId="0" borderId="0" xfId="0" applyFont="1" applyAlignment="1">
      <alignment horizontal="left"/>
    </xf>
    <xf numFmtId="0" fontId="0" fillId="0" borderId="0" xfId="0" applyBorder="1" applyAlignment="1">
      <alignment horizontal="righ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30" fillId="0" borderId="0" xfId="0" applyFont="1" applyFill="1" applyBorder="1" applyAlignment="1">
      <alignment horizontal="right" wrapText="1"/>
    </xf>
    <xf numFmtId="0" fontId="0" fillId="0" borderId="0" xfId="0" applyFill="1" applyBorder="1" applyAlignment="1">
      <alignment horizontal="right"/>
    </xf>
    <xf numFmtId="0" fontId="0" fillId="0" borderId="0" xfId="0" applyBorder="1" applyAlignment="1">
      <alignment horizontal="center"/>
    </xf>
    <xf numFmtId="0" fontId="12" fillId="0" borderId="0" xfId="0" applyFont="1" applyBorder="1" applyAlignment="1">
      <alignment horizontal="left" vertical="top"/>
    </xf>
    <xf numFmtId="0" fontId="0" fillId="0" borderId="0" xfId="0" applyFill="1" applyBorder="1" applyAlignment="1">
      <alignment horizontal="right" vertical="center"/>
    </xf>
    <xf numFmtId="0" fontId="27" fillId="0" borderId="0" xfId="0" applyFont="1" applyAlignment="1">
      <alignment horizontal="left"/>
    </xf>
    <xf numFmtId="0" fontId="0" fillId="0" borderId="0" xfId="0" applyBorder="1" applyAlignment="1">
      <alignment horizontal="right"/>
    </xf>
    <xf numFmtId="0" fontId="30" fillId="0" borderId="0" xfId="0" applyFont="1" applyBorder="1" applyAlignment="1">
      <alignment horizontal="right"/>
    </xf>
    <xf numFmtId="0" fontId="30" fillId="0" borderId="7"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27" fillId="0" borderId="0" xfId="0" applyFont="1" applyAlignment="1">
      <alignment wrapText="1"/>
    </xf>
    <xf numFmtId="0" fontId="15" fillId="0" borderId="0" xfId="0" applyFont="1" applyBorder="1" applyAlignment="1">
      <alignment vertical="top" wrapText="1"/>
    </xf>
    <xf numFmtId="0" fontId="37" fillId="0" borderId="12" xfId="0" applyFont="1" applyBorder="1" applyAlignment="1">
      <alignment vertical="top" wrapText="1"/>
    </xf>
    <xf numFmtId="0" fontId="37" fillId="0" borderId="0" xfId="0" applyFont="1" applyAlignment="1">
      <alignment vertical="top" wrapText="1"/>
    </xf>
    <xf numFmtId="0" fontId="12" fillId="0" borderId="0" xfId="0" applyFont="1" applyBorder="1" applyAlignment="1">
      <alignment horizontal="left" vertical="top"/>
    </xf>
    <xf numFmtId="0" fontId="27" fillId="0" borderId="0" xfId="0" applyFont="1" applyAlignment="1">
      <alignment horizontal="left"/>
    </xf>
    <xf numFmtId="0" fontId="0" fillId="0" borderId="0" xfId="0" applyBorder="1" applyAlignment="1">
      <alignment horizontal="righ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30" fillId="0" borderId="0" xfId="0" applyFont="1" applyFill="1" applyBorder="1" applyAlignment="1">
      <alignment horizontal="right" wrapText="1"/>
    </xf>
    <xf numFmtId="0" fontId="0" fillId="0" borderId="0" xfId="0" applyFill="1" applyBorder="1" applyAlignment="1">
      <alignment horizontal="right"/>
    </xf>
    <xf numFmtId="0" fontId="0" fillId="0" borderId="0" xfId="0" applyBorder="1" applyAlignment="1">
      <alignment horizontal="center"/>
    </xf>
    <xf numFmtId="0" fontId="12" fillId="0" borderId="0" xfId="0" applyFont="1" applyBorder="1" applyAlignment="1">
      <alignment horizontal="left" vertical="top"/>
    </xf>
    <xf numFmtId="0" fontId="15" fillId="0" borderId="0" xfId="0" applyFont="1" applyAlignment="1">
      <alignment horizontal="left"/>
    </xf>
    <xf numFmtId="0" fontId="0" fillId="0" borderId="0" xfId="0"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30" fillId="0" borderId="7" xfId="0" applyFont="1" applyBorder="1" applyAlignment="1">
      <alignment horizontal="right"/>
    </xf>
    <xf numFmtId="0" fontId="0" fillId="0" borderId="0" xfId="0" applyBorder="1" applyAlignment="1">
      <alignment horizontal="center"/>
    </xf>
    <xf numFmtId="0" fontId="14" fillId="0" borderId="0" xfId="0" applyFont="1" applyAlignment="1">
      <alignment vertical="top"/>
    </xf>
    <xf numFmtId="0" fontId="31" fillId="0" borderId="0" xfId="0" applyFont="1"/>
    <xf numFmtId="0" fontId="12" fillId="0" borderId="0" xfId="0" applyFont="1" applyBorder="1" applyAlignment="1">
      <alignment horizontal="left" vertical="top"/>
    </xf>
    <xf numFmtId="0" fontId="12"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0" fillId="0" borderId="0" xfId="0"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0" fillId="0" borderId="7"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30" fillId="0" borderId="7" xfId="0" applyFont="1" applyBorder="1" applyAlignment="1">
      <alignment horizontal="right"/>
    </xf>
    <xf numFmtId="0" fontId="15" fillId="0" borderId="0" xfId="0" applyFont="1" applyAlignment="1">
      <alignment vertical="top" wrapText="1"/>
    </xf>
    <xf numFmtId="0" fontId="0" fillId="0" borderId="0" xfId="0" applyBorder="1" applyAlignment="1">
      <alignment horizontal="center"/>
    </xf>
    <xf numFmtId="0" fontId="15" fillId="0" borderId="0" xfId="0" applyFont="1" applyAlignment="1">
      <alignment horizontal="left" vertical="top" wrapText="1"/>
    </xf>
    <xf numFmtId="0" fontId="0" fillId="0" borderId="0" xfId="0" applyAlignment="1">
      <alignment horizontal="center"/>
    </xf>
    <xf numFmtId="0" fontId="27" fillId="0" borderId="0" xfId="0" applyFont="1" applyAlignment="1">
      <alignment horizontal="left"/>
    </xf>
    <xf numFmtId="0" fontId="15" fillId="0" borderId="0" xfId="0" applyFont="1" applyAlignment="1">
      <alignment horizontal="left" vertical="top" wrapText="1"/>
    </xf>
    <xf numFmtId="0" fontId="19" fillId="0" borderId="0" xfId="0" applyFont="1" applyBorder="1" applyAlignment="1">
      <alignment horizontal="center" vertical="center" wrapText="1"/>
    </xf>
    <xf numFmtId="0" fontId="0" fillId="0" borderId="0" xfId="0" applyAlignment="1">
      <alignment horizontal="center"/>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0" xfId="0" applyFont="1" applyAlignment="1">
      <alignment horizontal="left"/>
    </xf>
    <xf numFmtId="0" fontId="15" fillId="0" borderId="0" xfId="0" quotePrefix="1" applyFont="1" applyAlignment="1">
      <alignment horizontal="left"/>
    </xf>
    <xf numFmtId="0" fontId="15" fillId="0" borderId="0" xfId="0" applyFont="1" applyAlignment="1">
      <alignment horizontal="left"/>
    </xf>
    <xf numFmtId="0" fontId="12" fillId="0" borderId="0" xfId="0" applyFont="1" applyAlignment="1">
      <alignment horizontal="right"/>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2" fillId="0" borderId="0" xfId="0" applyFont="1" applyAlignment="1">
      <alignment horizontal="center"/>
    </xf>
    <xf numFmtId="0" fontId="12" fillId="0" borderId="37"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5" fillId="0" borderId="0" xfId="0" quotePrefix="1" applyFont="1" applyAlignment="1">
      <alignment horizontal="left" vertical="top" wrapText="1"/>
    </xf>
    <xf numFmtId="0" fontId="15" fillId="0" borderId="15" xfId="0" quotePrefix="1" applyFont="1" applyBorder="1" applyAlignment="1">
      <alignment horizontal="left" vertical="top" wrapText="1"/>
    </xf>
    <xf numFmtId="0" fontId="14" fillId="0" borderId="0" xfId="0" applyFont="1" applyAlignment="1">
      <alignment horizontal="left"/>
    </xf>
    <xf numFmtId="0" fontId="14" fillId="0" borderId="0" xfId="0" applyFont="1" applyAlignment="1">
      <alignment horizontal="left" vertical="top"/>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4" fillId="0" borderId="0" xfId="0" applyFont="1" applyAlignment="1">
      <alignment horizontal="left" vertical="top" wrapText="1"/>
    </xf>
    <xf numFmtId="44" fontId="12" fillId="0" borderId="37" xfId="0" applyNumberFormat="1" applyFont="1" applyBorder="1" applyAlignment="1" applyProtection="1">
      <alignment horizontal="left" vertical="top" wrapText="1"/>
      <protection locked="0"/>
    </xf>
    <xf numFmtId="14" fontId="12" fillId="0" borderId="37" xfId="0" applyNumberFormat="1" applyFont="1" applyBorder="1" applyAlignment="1" applyProtection="1">
      <alignment horizontal="left" vertical="top" wrapText="1"/>
      <protection locked="0"/>
    </xf>
    <xf numFmtId="14" fontId="12" fillId="0" borderId="0" xfId="0" applyNumberFormat="1" applyFont="1" applyBorder="1" applyAlignment="1" applyProtection="1">
      <alignment horizontal="left" vertical="top" wrapText="1"/>
      <protection locked="0"/>
    </xf>
    <xf numFmtId="14" fontId="12" fillId="0" borderId="15" xfId="0" applyNumberFormat="1" applyFont="1" applyBorder="1" applyAlignment="1" applyProtection="1">
      <alignment horizontal="left" vertical="top" wrapText="1"/>
      <protection locked="0"/>
    </xf>
    <xf numFmtId="0" fontId="11" fillId="3" borderId="0" xfId="0" applyFont="1" applyFill="1" applyAlignment="1">
      <alignment horizontal="center"/>
    </xf>
    <xf numFmtId="0" fontId="15" fillId="0" borderId="0" xfId="0" applyFont="1" applyBorder="1" applyAlignment="1">
      <alignment horizontal="right"/>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11" fillId="3" borderId="0" xfId="3" quotePrefix="1" applyFont="1" applyFill="1" applyAlignment="1">
      <alignment horizontal="left" vertical="center" wrapText="1"/>
    </xf>
    <xf numFmtId="0" fontId="14" fillId="0" borderId="0" xfId="0" applyFont="1" applyAlignment="1">
      <alignment horizontal="left" wrapText="1"/>
    </xf>
    <xf numFmtId="0" fontId="37" fillId="0" borderId="0" xfId="0" applyFont="1" applyAlignment="1">
      <alignment horizontal="left" vertical="top" wrapText="1"/>
    </xf>
    <xf numFmtId="0" fontId="37" fillId="0" borderId="0" xfId="0" applyFont="1" applyAlignment="1">
      <alignment horizontal="right"/>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vertical="center" wrapText="1"/>
      <protection locked="0"/>
    </xf>
    <xf numFmtId="14" fontId="12" fillId="5" borderId="21" xfId="0" applyNumberFormat="1" applyFont="1" applyFill="1" applyBorder="1" applyAlignment="1" applyProtection="1">
      <alignment horizontal="center" vertical="center" wrapText="1"/>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5" fillId="0" borderId="0" xfId="0" applyFont="1" applyBorder="1" applyAlignment="1">
      <alignment horizontal="left" vertical="top"/>
    </xf>
    <xf numFmtId="0" fontId="12" fillId="0" borderId="0" xfId="0" applyFont="1" applyBorder="1" applyAlignment="1">
      <alignment horizontal="right"/>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35" fillId="0" borderId="0" xfId="0" applyFont="1" applyAlignment="1">
      <alignment horizontal="left" vertical="top"/>
    </xf>
    <xf numFmtId="0" fontId="12" fillId="0" borderId="0" xfId="0" applyFont="1" applyBorder="1" applyAlignment="1">
      <alignment horizontal="left"/>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5" fillId="0" borderId="0" xfId="0" applyFont="1" applyBorder="1" applyAlignment="1">
      <alignment horizontal="left"/>
    </xf>
    <xf numFmtId="0" fontId="19" fillId="5" borderId="0" xfId="0" applyFont="1" applyFill="1" applyAlignment="1">
      <alignment horizontal="left"/>
    </xf>
    <xf numFmtId="0" fontId="27" fillId="0" borderId="0" xfId="0" applyFont="1" applyAlignment="1">
      <alignment horizontal="left"/>
    </xf>
    <xf numFmtId="0" fontId="0" fillId="0" borderId="0" xfId="0" applyBorder="1" applyAlignment="1">
      <alignment horizontal="right"/>
    </xf>
    <xf numFmtId="0" fontId="0" fillId="0" borderId="7" xfId="0" applyBorder="1" applyAlignment="1">
      <alignment horizontal="righ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30" fillId="0" borderId="7" xfId="0" applyFont="1" applyBorder="1" applyAlignment="1">
      <alignment horizontal="right"/>
    </xf>
    <xf numFmtId="0" fontId="30" fillId="0" borderId="0" xfId="0" applyFont="1" applyBorder="1" applyAlignment="1">
      <alignment horizontal="right"/>
    </xf>
    <xf numFmtId="0" fontId="64" fillId="0" borderId="12" xfId="0" applyFont="1" applyBorder="1" applyAlignment="1">
      <alignment horizontal="left" vertical="top" wrapText="1"/>
    </xf>
    <xf numFmtId="0" fontId="64" fillId="0" borderId="0" xfId="0" applyFont="1" applyAlignment="1">
      <alignment horizontal="left" vertical="top" wrapText="1"/>
    </xf>
    <xf numFmtId="0" fontId="27" fillId="0" borderId="0" xfId="0" applyFont="1" applyAlignment="1">
      <alignment horizontal="left" wrapText="1"/>
    </xf>
    <xf numFmtId="0" fontId="0" fillId="0" borderId="0" xfId="0" applyFill="1" applyBorder="1" applyAlignment="1">
      <alignment horizontal="right" vertical="center"/>
    </xf>
    <xf numFmtId="0" fontId="61" fillId="0" borderId="0" xfId="0" applyFont="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35" fillId="0" borderId="43" xfId="0" applyFont="1" applyBorder="1" applyAlignment="1">
      <alignment horizontal="left" vertical="top"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15" fillId="0" borderId="0" xfId="0" quotePrefix="1" applyFont="1" applyBorder="1" applyAlignment="1">
      <alignment horizontal="left" vertical="top" wrapText="1"/>
    </xf>
    <xf numFmtId="0" fontId="15" fillId="0" borderId="0" xfId="0" applyFont="1" applyBorder="1" applyAlignment="1">
      <alignment horizontal="left" vertical="top" wrapText="1"/>
    </xf>
    <xf numFmtId="0" fontId="61" fillId="0" borderId="0" xfId="0" applyFont="1" applyBorder="1" applyAlignment="1">
      <alignment horizontal="left" vertical="center" wrapText="1"/>
    </xf>
    <xf numFmtId="0" fontId="30" fillId="0" borderId="0" xfId="0" applyFont="1" applyFill="1" applyBorder="1" applyAlignment="1">
      <alignment horizontal="right" vertical="center"/>
    </xf>
    <xf numFmtId="0" fontId="18" fillId="0" borderId="23" xfId="0" quotePrefix="1" applyFont="1" applyBorder="1" applyAlignment="1">
      <alignment horizontal="center" vertical="center" wrapText="1"/>
    </xf>
    <xf numFmtId="0" fontId="18" fillId="0" borderId="11" xfId="0" quotePrefix="1" applyFont="1" applyBorder="1" applyAlignment="1">
      <alignment horizontal="center" vertical="center" wrapText="1"/>
    </xf>
    <xf numFmtId="0" fontId="15" fillId="0" borderId="0" xfId="0" applyFont="1" applyBorder="1" applyAlignment="1">
      <alignment horizontal="left" wrapText="1"/>
    </xf>
    <xf numFmtId="0" fontId="27" fillId="0" borderId="0" xfId="0" applyFont="1" applyAlignment="1">
      <alignment horizontal="left" vertical="top"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15" fillId="0" borderId="12" xfId="0" applyFont="1" applyBorder="1" applyAlignment="1">
      <alignment horizontal="left" vertical="top" wrapText="1"/>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0" fillId="0" borderId="0" xfId="0" applyBorder="1" applyAlignment="1">
      <alignment horizontal="center"/>
    </xf>
    <xf numFmtId="0" fontId="0" fillId="0" borderId="7" xfId="0" applyFill="1" applyBorder="1" applyAlignment="1">
      <alignment horizontal="right"/>
    </xf>
    <xf numFmtId="0" fontId="0" fillId="0" borderId="7" xfId="0" applyFill="1" applyBorder="1" applyAlignment="1">
      <alignment horizontal="right" vertic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5" fillId="0" borderId="0" xfId="0" applyFont="1" applyAlignment="1">
      <alignment horizontal="left" wrapText="1"/>
    </xf>
    <xf numFmtId="0" fontId="22" fillId="3" borderId="0" xfId="0" applyFont="1" applyFill="1" applyAlignment="1">
      <alignment horizontal="center" vertical="center" wrapText="1"/>
    </xf>
    <xf numFmtId="0" fontId="17" fillId="3" borderId="0" xfId="0" applyFont="1" applyFill="1" applyAlignment="1">
      <alignment horizontal="left"/>
    </xf>
    <xf numFmtId="0" fontId="17" fillId="3" borderId="0" xfId="0" applyFont="1" applyFill="1" applyAlignment="1">
      <alignment horizontal="left"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15" fillId="0" borderId="0" xfId="0" applyFont="1" applyAlignment="1">
      <alignment vertical="top" wrapText="1"/>
    </xf>
    <xf numFmtId="0" fontId="0" fillId="0" borderId="0" xfId="0" applyBorder="1" applyAlignment="1">
      <alignment horizontal="right" vertical="center"/>
    </xf>
    <xf numFmtId="0" fontId="37" fillId="0" borderId="0" xfId="0" applyFont="1" applyBorder="1" applyAlignment="1">
      <alignment horizontal="left" vertical="center" wrapText="1"/>
    </xf>
    <xf numFmtId="0" fontId="37" fillId="0" borderId="0" xfId="0" applyFont="1" applyAlignment="1">
      <alignment horizontal="left" wrapText="1"/>
    </xf>
    <xf numFmtId="0" fontId="61" fillId="0" borderId="12" xfId="0" applyFont="1" applyBorder="1" applyAlignment="1">
      <alignment horizontal="left" vertical="center" wrapText="1"/>
    </xf>
    <xf numFmtId="0" fontId="37" fillId="0" borderId="0" xfId="0" applyFont="1" applyBorder="1" applyAlignment="1">
      <alignment horizontal="center" vertical="top"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27" fillId="0" borderId="0" xfId="0" applyFont="1" applyBorder="1" applyAlignment="1">
      <alignment horizontal="left" vertical="center" wrapText="1"/>
    </xf>
    <xf numFmtId="0" fontId="15" fillId="0" borderId="0" xfId="0" applyFont="1" applyAlignment="1">
      <alignment horizontal="left" vertical="top"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56" fillId="3" borderId="20" xfId="0" applyFont="1" applyFill="1" applyBorder="1" applyAlignment="1">
      <alignment horizontal="center"/>
    </xf>
    <xf numFmtId="0" fontId="56" fillId="3" borderId="22" xfId="0" applyFont="1" applyFill="1" applyBorder="1" applyAlignment="1">
      <alignment horizontal="center"/>
    </xf>
    <xf numFmtId="0" fontId="56" fillId="3" borderId="21" xfId="0" applyFont="1" applyFill="1" applyBorder="1" applyAlignment="1">
      <alignment horizontal="center"/>
    </xf>
    <xf numFmtId="14" fontId="14" fillId="4" borderId="20" xfId="0" applyNumberFormat="1" applyFont="1" applyFill="1" applyBorder="1" applyAlignment="1" applyProtection="1">
      <alignment horizontal="center" vertical="center" wrapText="1"/>
      <protection locked="0"/>
    </xf>
    <xf numFmtId="14" fontId="14" fillId="4" borderId="21"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56" fillId="3" borderId="20" xfId="0" applyFont="1" applyFill="1" applyBorder="1" applyAlignment="1">
      <alignment horizontal="center" vertical="center"/>
    </xf>
    <xf numFmtId="0" fontId="56" fillId="3" borderId="22" xfId="0" applyFont="1" applyFill="1" applyBorder="1" applyAlignment="1">
      <alignment horizontal="center" vertical="center"/>
    </xf>
    <xf numFmtId="0" fontId="56" fillId="3" borderId="21" xfId="0" applyFont="1" applyFill="1" applyBorder="1" applyAlignment="1">
      <alignment horizontal="center" vertical="center"/>
    </xf>
    <xf numFmtId="44" fontId="12" fillId="5" borderId="38" xfId="0" applyNumberFormat="1" applyFont="1" applyFill="1" applyBorder="1" applyAlignment="1" applyProtection="1">
      <alignment horizontal="right"/>
      <protection locked="0"/>
    </xf>
    <xf numFmtId="44" fontId="12" fillId="5" borderId="39" xfId="0" applyNumberFormat="1" applyFont="1" applyFill="1" applyBorder="1" applyAlignment="1" applyProtection="1">
      <alignment horizontal="right"/>
      <protection locked="0"/>
    </xf>
    <xf numFmtId="0" fontId="0" fillId="0" borderId="0" xfId="0" applyAlignment="1">
      <alignment horizontal="center" vertical="top"/>
    </xf>
    <xf numFmtId="0" fontId="0" fillId="0" borderId="0" xfId="0" applyAlignment="1">
      <alignment horizontal="center"/>
    </xf>
    <xf numFmtId="0" fontId="11" fillId="3" borderId="7"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5" xfId="0" applyFont="1" applyFill="1" applyBorder="1" applyAlignment="1">
      <alignment horizontal="center" vertical="top" wrapText="1"/>
    </xf>
    <xf numFmtId="0" fontId="0" fillId="0" borderId="0" xfId="0" applyAlignment="1">
      <alignment horizontal="center" vertical="top" wrapText="1"/>
    </xf>
    <xf numFmtId="44" fontId="0" fillId="5" borderId="40" xfId="0" applyNumberFormat="1" applyFill="1" applyBorder="1" applyAlignment="1" applyProtection="1">
      <alignment horizontal="center"/>
      <protection locked="0"/>
    </xf>
    <xf numFmtId="44" fontId="0" fillId="5" borderId="41" xfId="0" applyNumberFormat="1" applyFill="1" applyBorder="1" applyAlignment="1" applyProtection="1">
      <alignment horizontal="center"/>
      <protection locked="0"/>
    </xf>
    <xf numFmtId="44" fontId="12" fillId="5" borderId="36" xfId="1" applyNumberFormat="1" applyFont="1" applyFill="1" applyBorder="1" applyAlignment="1" applyProtection="1">
      <alignment horizontal="right" vertical="center"/>
      <protection locked="0"/>
    </xf>
    <xf numFmtId="44" fontId="12" fillId="5" borderId="17" xfId="1" applyNumberFormat="1" applyFont="1" applyFill="1" applyBorder="1" applyAlignment="1" applyProtection="1">
      <alignment horizontal="right" vertical="center"/>
      <protection locked="0"/>
    </xf>
    <xf numFmtId="44" fontId="12" fillId="5" borderId="16" xfId="1" applyNumberFormat="1" applyFont="1" applyFill="1" applyBorder="1" applyAlignment="1" applyProtection="1">
      <alignment horizontal="right" vertical="center"/>
      <protection locked="0"/>
    </xf>
    <xf numFmtId="44" fontId="12" fillId="5" borderId="19" xfId="1" applyNumberFormat="1" applyFont="1" applyFill="1" applyBorder="1" applyAlignment="1" applyProtection="1">
      <alignment horizontal="right" vertical="center"/>
      <protection locked="0"/>
    </xf>
    <xf numFmtId="44" fontId="12" fillId="5" borderId="40" xfId="0" applyNumberFormat="1" applyFont="1" applyFill="1" applyBorder="1" applyAlignment="1">
      <alignment horizontal="center"/>
    </xf>
    <xf numFmtId="44" fontId="12" fillId="5" borderId="41" xfId="0" applyNumberFormat="1" applyFont="1" applyFill="1" applyBorder="1" applyAlignment="1">
      <alignment horizontal="center"/>
    </xf>
    <xf numFmtId="0" fontId="0" fillId="0" borderId="0" xfId="0" applyAlignment="1">
      <alignment horizontal="center" vertical="center"/>
    </xf>
    <xf numFmtId="14" fontId="14" fillId="4" borderId="22" xfId="0" applyNumberFormat="1" applyFont="1" applyFill="1" applyBorder="1" applyAlignment="1" applyProtection="1">
      <alignment horizontal="center" vertical="center" wrapText="1"/>
      <protection locked="0"/>
    </xf>
    <xf numFmtId="0" fontId="11" fillId="3" borderId="5" xfId="0" applyFont="1" applyFill="1" applyBorder="1" applyAlignment="1">
      <alignment horizontal="center"/>
    </xf>
    <xf numFmtId="0" fontId="0" fillId="0" borderId="15" xfId="0" applyBorder="1" applyAlignment="1">
      <alignment horizontal="center" vertical="center"/>
    </xf>
  </cellXfs>
  <cellStyles count="5">
    <cellStyle name="Lien hypertexte" xfId="3" builtinId="8"/>
    <cellStyle name="Milliers" xfId="4" builtinId="3"/>
    <cellStyle name="Monétaire" xfId="1" builtinId="4"/>
    <cellStyle name="Normal" xfId="0" builtinId="0"/>
    <cellStyle name="Pourcentage" xfId="2" builtinId="5"/>
  </cellStyles>
  <dxfs count="70">
    <dxf>
      <font>
        <color rgb="FF9C0006"/>
      </font>
    </dxf>
    <dxf>
      <font>
        <color rgb="FF00B050"/>
      </font>
    </dxf>
    <dxf>
      <font>
        <color rgb="FF00B050"/>
      </font>
    </dxf>
    <dxf>
      <font>
        <color rgb="FFC00000"/>
      </font>
    </dxf>
    <dxf>
      <font>
        <color rgb="FF9C0006"/>
      </font>
    </dxf>
    <dxf>
      <font>
        <color rgb="FF00B050"/>
      </font>
    </dxf>
    <dxf>
      <font>
        <color rgb="FF9C0006"/>
      </font>
    </dxf>
    <dxf>
      <font>
        <color rgb="FF00B050"/>
      </font>
    </dxf>
    <dxf>
      <font>
        <color rgb="FF00B050"/>
      </font>
    </dxf>
    <dxf>
      <font>
        <color rgb="FFC0000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00B050"/>
      </font>
    </dxf>
    <dxf>
      <font>
        <color rgb="FFC0000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9C0006"/>
      </font>
    </dxf>
    <dxf>
      <font>
        <color rgb="FF00B050"/>
      </font>
    </dxf>
    <dxf>
      <font>
        <color rgb="FF00B050"/>
      </font>
    </dxf>
    <dxf>
      <font>
        <color rgb="FFC0000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00B050"/>
      </font>
    </dxf>
    <dxf>
      <font>
        <color rgb="FFC00000"/>
      </font>
    </dxf>
    <dxf>
      <font>
        <color rgb="FFC00000"/>
      </font>
    </dxf>
  </dxfs>
  <tableStyles count="0" defaultTableStyle="TableStyleMedium2" defaultPivotStyle="PivotStyleLight16"/>
  <colors>
    <mruColors>
      <color rgb="FF0D4174"/>
      <color rgb="FF8ECFDD"/>
      <color rgb="FFFAC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Annexes!$F$5" fmlaRange="Annexes!$B$4:$B$86" noThreeD="1" sel="1" val="0"/>
</file>

<file path=xl/ctrlProps/ctrlProp10.xml><?xml version="1.0" encoding="utf-8"?>
<formControlPr xmlns="http://schemas.microsoft.com/office/spreadsheetml/2009/9/main" objectType="CheckBox" fmlaLink="Annexes!$M$19" lockText="1" noThreeD="1"/>
</file>

<file path=xl/ctrlProps/ctrlProp11.xml><?xml version="1.0" encoding="utf-8"?>
<formControlPr xmlns="http://schemas.microsoft.com/office/spreadsheetml/2009/9/main" objectType="CheckBox" fmlaLink="Annexes!$M$21" lockText="1" noThreeD="1"/>
</file>

<file path=xl/ctrlProps/ctrlProp12.xml><?xml version="1.0" encoding="utf-8"?>
<formControlPr xmlns="http://schemas.microsoft.com/office/spreadsheetml/2009/9/main" objectType="CheckBox" fmlaLink="Annexes!$M$23" lockText="1" noThreeD="1"/>
</file>

<file path=xl/ctrlProps/ctrlProp13.xml><?xml version="1.0" encoding="utf-8"?>
<formControlPr xmlns="http://schemas.microsoft.com/office/spreadsheetml/2009/9/main" objectType="CheckBox" fmlaLink="Annexes!$M$26" lockText="1" noThreeD="1"/>
</file>

<file path=xl/ctrlProps/ctrlProp14.xml><?xml version="1.0" encoding="utf-8"?>
<formControlPr xmlns="http://schemas.microsoft.com/office/spreadsheetml/2009/9/main" objectType="CheckBox" fmlaLink="Annexes!$M$27" lockText="1" noThreeD="1"/>
</file>

<file path=xl/ctrlProps/ctrlProp15.xml><?xml version="1.0" encoding="utf-8"?>
<formControlPr xmlns="http://schemas.microsoft.com/office/spreadsheetml/2009/9/main" objectType="CheckBox" fmlaLink="Annexes!$M$29" lockText="1" noThreeD="1"/>
</file>

<file path=xl/ctrlProps/ctrlProp16.xml><?xml version="1.0" encoding="utf-8"?>
<formControlPr xmlns="http://schemas.microsoft.com/office/spreadsheetml/2009/9/main" objectType="CheckBox" fmlaLink="Annexes!$M$30" lockText="1" noThreeD="1"/>
</file>

<file path=xl/ctrlProps/ctrlProp17.xml><?xml version="1.0" encoding="utf-8"?>
<formControlPr xmlns="http://schemas.microsoft.com/office/spreadsheetml/2009/9/main" objectType="CheckBox" fmlaLink="Annexes!$M$24" lockText="1" noThreeD="1"/>
</file>

<file path=xl/ctrlProps/ctrlProp18.xml><?xml version="1.0" encoding="utf-8"?>
<formControlPr xmlns="http://schemas.microsoft.com/office/spreadsheetml/2009/9/main" objectType="CheckBox" fmlaLink="Annexes!$M$32" lockText="1" noThreeD="1"/>
</file>

<file path=xl/ctrlProps/ctrlProp19.xml><?xml version="1.0" encoding="utf-8"?>
<formControlPr xmlns="http://schemas.microsoft.com/office/spreadsheetml/2009/9/main" objectType="CheckBox" fmlaLink="Annexes!$M$33" lockText="1" noThreeD="1"/>
</file>

<file path=xl/ctrlProps/ctrlProp2.xml><?xml version="1.0" encoding="utf-8"?>
<formControlPr xmlns="http://schemas.microsoft.com/office/spreadsheetml/2009/9/main" objectType="Drop" dropStyle="combo" dx="16" fmlaLink="Annexes!$F$7" fmlaRange="Annexes!$D$4:$D$142" noThreeD="1" sel="1" val="0"/>
</file>

<file path=xl/ctrlProps/ctrlProp20.xml><?xml version="1.0" encoding="utf-8"?>
<formControlPr xmlns="http://schemas.microsoft.com/office/spreadsheetml/2009/9/main" objectType="CheckBox" fmlaLink="Annexes!$M$35" lockText="1" noThreeD="1"/>
</file>

<file path=xl/ctrlProps/ctrlProp21.xml><?xml version="1.0" encoding="utf-8"?>
<formControlPr xmlns="http://schemas.microsoft.com/office/spreadsheetml/2009/9/main" objectType="CheckBox" fmlaLink="Annexes!$M$38" lockText="1" noThreeD="1"/>
</file>

<file path=xl/ctrlProps/ctrlProp22.xml><?xml version="1.0" encoding="utf-8"?>
<formControlPr xmlns="http://schemas.microsoft.com/office/spreadsheetml/2009/9/main" objectType="CheckBox" fmlaLink="Annexes!$M$36" lockText="1" noThreeD="1"/>
</file>

<file path=xl/ctrlProps/ctrlProp23.xml><?xml version="1.0" encoding="utf-8"?>
<formControlPr xmlns="http://schemas.microsoft.com/office/spreadsheetml/2009/9/main" objectType="CheckBox" fmlaLink="Annexes!$M$39" lockText="1" noThreeD="1"/>
</file>

<file path=xl/ctrlProps/ctrlProp24.xml><?xml version="1.0" encoding="utf-8"?>
<formControlPr xmlns="http://schemas.microsoft.com/office/spreadsheetml/2009/9/main" objectType="CheckBox" fmlaLink="Annexes!$M$41" lockText="1" noThreeD="1"/>
</file>

<file path=xl/ctrlProps/ctrlProp25.xml><?xml version="1.0" encoding="utf-8"?>
<formControlPr xmlns="http://schemas.microsoft.com/office/spreadsheetml/2009/9/main" objectType="CheckBox" fmlaLink="Annexes!$M$43" lockText="1" noThreeD="1"/>
</file>

<file path=xl/ctrlProps/ctrlProp26.xml><?xml version="1.0" encoding="utf-8"?>
<formControlPr xmlns="http://schemas.microsoft.com/office/spreadsheetml/2009/9/main" objectType="CheckBox" fmlaLink="Annexes!$M$42" lockText="1" noThreeD="1"/>
</file>

<file path=xl/ctrlProps/ctrlProp27.xml><?xml version="1.0" encoding="utf-8"?>
<formControlPr xmlns="http://schemas.microsoft.com/office/spreadsheetml/2009/9/main" objectType="CheckBox" fmlaLink="Annexes!$M$46" lockText="1" noThreeD="1"/>
</file>

<file path=xl/ctrlProps/ctrlProp28.xml><?xml version="1.0" encoding="utf-8"?>
<formControlPr xmlns="http://schemas.microsoft.com/office/spreadsheetml/2009/9/main" objectType="CheckBox" fmlaLink="Annexes!$M$47" lockText="1" noThreeD="1"/>
</file>

<file path=xl/ctrlProps/ctrlProp29.xml><?xml version="1.0" encoding="utf-8"?>
<formControlPr xmlns="http://schemas.microsoft.com/office/spreadsheetml/2009/9/main" objectType="CheckBox" fmlaLink="Annexes!$M$45" lockText="1" noThreeD="1"/>
</file>

<file path=xl/ctrlProps/ctrlProp3.xml><?xml version="1.0" encoding="utf-8"?>
<formControlPr xmlns="http://schemas.microsoft.com/office/spreadsheetml/2009/9/main" objectType="CheckBox" fmlaLink="Annexes!$M$9" lockText="1" noThreeD="1"/>
</file>

<file path=xl/ctrlProps/ctrlProp30.xml><?xml version="1.0" encoding="utf-8"?>
<formControlPr xmlns="http://schemas.microsoft.com/office/spreadsheetml/2009/9/main" objectType="Drop" dropStyle="combo" dx="16" fmlaLink="Annexes!$V$6" fmlaRange="Annexes!$T$5:$T$14" noThreeD="1" sel="1" val="0"/>
</file>

<file path=xl/ctrlProps/ctrlProp4.xml><?xml version="1.0" encoding="utf-8"?>
<formControlPr xmlns="http://schemas.microsoft.com/office/spreadsheetml/2009/9/main" objectType="CheckBox" fmlaLink="Annexes!$M$13" lockText="1" noThreeD="1"/>
</file>

<file path=xl/ctrlProps/ctrlProp5.xml><?xml version="1.0" encoding="utf-8"?>
<formControlPr xmlns="http://schemas.microsoft.com/office/spreadsheetml/2009/9/main" objectType="Drop" dropStyle="combo" dx="16" fmlaLink="Annexes!$M$4" fmlaRange="Annexes!$I$4:$I$10" noThreeD="1" sel="1" val="0"/>
</file>

<file path=xl/ctrlProps/ctrlProp6.xml><?xml version="1.0" encoding="utf-8"?>
<formControlPr xmlns="http://schemas.microsoft.com/office/spreadsheetml/2009/9/main" objectType="Drop" dropStyle="combo" dx="16" fmlaLink="Annexes!$M$6" fmlaRange="Annexes!$J$4:$J$35" noThreeD="1" sel="1" val="0"/>
</file>

<file path=xl/ctrlProps/ctrlProp7.xml><?xml version="1.0" encoding="utf-8"?>
<formControlPr xmlns="http://schemas.microsoft.com/office/spreadsheetml/2009/9/main" objectType="CheckBox" fmlaLink="Annexes!$M$11" lockText="1" noThreeD="1"/>
</file>

<file path=xl/ctrlProps/ctrlProp8.xml><?xml version="1.0" encoding="utf-8"?>
<formControlPr xmlns="http://schemas.microsoft.com/office/spreadsheetml/2009/9/main" objectType="CheckBox" fmlaLink="Annexes!$M$15" lockText="1" noThreeD="1"/>
</file>

<file path=xl/ctrlProps/ctrlProp9.xml><?xml version="1.0" encoding="utf-8"?>
<formControlPr xmlns="http://schemas.microsoft.com/office/spreadsheetml/2009/9/main" objectType="CheckBox" fmlaLink="Annexes!$M$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0</xdr:rowOff>
        </xdr:from>
        <xdr:to>
          <xdr:col>9</xdr:col>
          <xdr:colOff>542925</xdr:colOff>
          <xdr:row>34</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9</xdr:col>
          <xdr:colOff>542925</xdr:colOff>
          <xdr:row>31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36</xdr:row>
          <xdr:rowOff>180975</xdr:rowOff>
        </xdr:from>
        <xdr:to>
          <xdr:col>12</xdr:col>
          <xdr:colOff>800100</xdr:colOff>
          <xdr:row>38</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37</xdr:row>
          <xdr:rowOff>9525</xdr:rowOff>
        </xdr:from>
        <xdr:to>
          <xdr:col>15</xdr:col>
          <xdr:colOff>790575</xdr:colOff>
          <xdr:row>38</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29</xdr:row>
      <xdr:rowOff>142875</xdr:rowOff>
    </xdr:from>
    <xdr:to>
      <xdr:col>29</xdr:col>
      <xdr:colOff>294775</xdr:colOff>
      <xdr:row>80</xdr:row>
      <xdr:rowOff>103686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31</xdr:row>
      <xdr:rowOff>57149</xdr:rowOff>
    </xdr:from>
    <xdr:to>
      <xdr:col>25</xdr:col>
      <xdr:colOff>238126</xdr:colOff>
      <xdr:row>41</xdr:row>
      <xdr:rowOff>28573</xdr:rowOff>
    </xdr:to>
    <xdr:sp macro="" textlink="">
      <xdr:nvSpPr>
        <xdr:cNvPr id="16" name="Bulle ronde 15">
          <a:extLst>
            <a:ext uri="{FF2B5EF4-FFF2-40B4-BE49-F238E27FC236}">
              <a16:creationId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304799</xdr:colOff>
      <xdr:row>22</xdr:row>
      <xdr:rowOff>142876</xdr:rowOff>
    </xdr:from>
    <xdr:to>
      <xdr:col>1</xdr:col>
      <xdr:colOff>419101</xdr:colOff>
      <xdr:row>87</xdr:row>
      <xdr:rowOff>57150</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14399" y="4514851"/>
          <a:ext cx="114302" cy="9124949"/>
        </a:xfrm>
        <a:prstGeom prst="leftBrace">
          <a:avLst>
            <a:gd name="adj1" fmla="val 33334"/>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51</xdr:row>
      <xdr:rowOff>85725</xdr:rowOff>
    </xdr:from>
    <xdr:to>
      <xdr:col>1</xdr:col>
      <xdr:colOff>457200</xdr:colOff>
      <xdr:row>54</xdr:row>
      <xdr:rowOff>47625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9286875"/>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9</xdr:col>
          <xdr:colOff>571500</xdr:colOff>
          <xdr:row>48</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9</xdr:col>
          <xdr:colOff>571500</xdr:colOff>
          <xdr:row>53</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9</xdr:col>
          <xdr:colOff>571500</xdr:colOff>
          <xdr:row>55</xdr:row>
          <xdr:rowOff>180975</xdr:rowOff>
        </xdr:to>
        <xdr:sp macro="" textlink="">
          <xdr:nvSpPr>
            <xdr:cNvPr id="2066" name="Check Box 18" descr="Interdiction d'accueil du public (du ... au ...)"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9</xdr:col>
          <xdr:colOff>571500</xdr:colOff>
          <xdr:row>57</xdr:row>
          <xdr:rowOff>180975</xdr:rowOff>
        </xdr:to>
        <xdr:sp macro="" textlink="">
          <xdr:nvSpPr>
            <xdr:cNvPr id="2068" name="Check Box 20" descr="Interdiction d'accueil du public (du ... au ...)"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638175</xdr:colOff>
      <xdr:row>45</xdr:row>
      <xdr:rowOff>38100</xdr:rowOff>
    </xdr:from>
    <xdr:to>
      <xdr:col>22</xdr:col>
      <xdr:colOff>447675</xdr:colOff>
      <xdr:row>54</xdr:row>
      <xdr:rowOff>114300</xdr:rowOff>
    </xdr:to>
    <xdr:sp macro="" textlink="">
      <xdr:nvSpPr>
        <xdr:cNvPr id="3" name="Ellipse 2"/>
        <xdr:cNvSpPr/>
      </xdr:nvSpPr>
      <xdr:spPr>
        <a:xfrm>
          <a:off x="11849100" y="7600950"/>
          <a:ext cx="2409825" cy="1885950"/>
        </a:xfrm>
        <a:prstGeom prst="ellipse">
          <a:avLst/>
        </a:prstGeom>
        <a:solidFill>
          <a:srgbClr val="0D4174"/>
        </a:solidFill>
        <a:ln>
          <a:solidFill>
            <a:srgbClr val="0D417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i="0">
              <a:solidFill>
                <a:schemeClr val="lt1"/>
              </a:solidFill>
              <a:effectLst/>
              <a:latin typeface="+mn-lt"/>
              <a:ea typeface="+mn-ea"/>
              <a:cs typeface="+mn-cs"/>
            </a:rPr>
            <a:t>Calcul</a:t>
          </a:r>
          <a:r>
            <a:rPr lang="fr-FR" sz="1100" b="1" i="0" baseline="0">
              <a:solidFill>
                <a:schemeClr val="lt1"/>
              </a:solidFill>
              <a:effectLst/>
              <a:latin typeface="+mn-lt"/>
              <a:ea typeface="+mn-ea"/>
              <a:cs typeface="+mn-cs"/>
            </a:rPr>
            <a:t> </a:t>
          </a:r>
          <a:r>
            <a:rPr lang="fr-FR" sz="1100" b="1" i="0">
              <a:solidFill>
                <a:schemeClr val="lt1"/>
              </a:solidFill>
              <a:effectLst/>
              <a:latin typeface="+mn-lt"/>
              <a:ea typeface="+mn-ea"/>
              <a:cs typeface="+mn-cs"/>
            </a:rPr>
            <a:t>de l'aide complémentaire du Fonds de Solidarité dite "Coûts fixes"</a:t>
          </a:r>
          <a:r>
            <a:rPr lang="fr-FR" sz="1100" b="1" i="0" baseline="0">
              <a:solidFill>
                <a:schemeClr val="lt1"/>
              </a:solidFill>
              <a:effectLst/>
              <a:latin typeface="+mn-lt"/>
              <a:ea typeface="+mn-ea"/>
              <a:cs typeface="+mn-cs"/>
            </a:rPr>
            <a:t> dans le dernier onglet de ce fichier</a:t>
          </a:r>
          <a:endParaRPr lang="fr-FR" sz="1100">
            <a:solidFill>
              <a:srgbClr val="0D4174"/>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9</xdr:col>
          <xdr:colOff>571500</xdr:colOff>
          <xdr:row>59</xdr:row>
          <xdr:rowOff>180975</xdr:rowOff>
        </xdr:to>
        <xdr:sp macro="" textlink="">
          <xdr:nvSpPr>
            <xdr:cNvPr id="2069" name="Check Box 21" descr="Interdiction d'accueil du public (du ... au ...)"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9525</xdr:rowOff>
        </xdr:from>
        <xdr:to>
          <xdr:col>9</xdr:col>
          <xdr:colOff>571500</xdr:colOff>
          <xdr:row>61</xdr:row>
          <xdr:rowOff>180975</xdr:rowOff>
        </xdr:to>
        <xdr:sp macro="" textlink="">
          <xdr:nvSpPr>
            <xdr:cNvPr id="2070" name="Check Box 22" descr="Interdiction d'accueil du public (du ... au ...)"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xdr:rowOff>
        </xdr:from>
        <xdr:to>
          <xdr:col>10</xdr:col>
          <xdr:colOff>47625</xdr:colOff>
          <xdr:row>28</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9</xdr:col>
          <xdr:colOff>571500</xdr:colOff>
          <xdr:row>63</xdr:row>
          <xdr:rowOff>180975</xdr:rowOff>
        </xdr:to>
        <xdr:sp macro="" textlink="">
          <xdr:nvSpPr>
            <xdr:cNvPr id="2072" name="Check Box 24" descr="Interdiction d'accueil du public (du ... au ...)"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9525</xdr:rowOff>
        </xdr:from>
        <xdr:to>
          <xdr:col>9</xdr:col>
          <xdr:colOff>571500</xdr:colOff>
          <xdr:row>65</xdr:row>
          <xdr:rowOff>180975</xdr:rowOff>
        </xdr:to>
        <xdr:sp macro="" textlink="">
          <xdr:nvSpPr>
            <xdr:cNvPr id="2073" name="Check Box 25" descr="Interdiction d'accueil du public (du ... au ...)"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9525</xdr:rowOff>
        </xdr:from>
        <xdr:to>
          <xdr:col>9</xdr:col>
          <xdr:colOff>571500</xdr:colOff>
          <xdr:row>67</xdr:row>
          <xdr:rowOff>180975</xdr:rowOff>
        </xdr:to>
        <xdr:sp macro="" textlink="">
          <xdr:nvSpPr>
            <xdr:cNvPr id="2074" name="Check Box 26" descr="Interdiction d'accueil du public (du ... au ...)"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9525</xdr:rowOff>
        </xdr:from>
        <xdr:to>
          <xdr:col>9</xdr:col>
          <xdr:colOff>571500</xdr:colOff>
          <xdr:row>71</xdr:row>
          <xdr:rowOff>180975</xdr:rowOff>
        </xdr:to>
        <xdr:sp macro="" textlink="">
          <xdr:nvSpPr>
            <xdr:cNvPr id="2075" name="Check Box 27" descr="Interdiction d'accueil du public (du ... au ...)"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9525</xdr:rowOff>
        </xdr:from>
        <xdr:to>
          <xdr:col>9</xdr:col>
          <xdr:colOff>571500</xdr:colOff>
          <xdr:row>69</xdr:row>
          <xdr:rowOff>180975</xdr:rowOff>
        </xdr:to>
        <xdr:sp macro="" textlink="">
          <xdr:nvSpPr>
            <xdr:cNvPr id="2077" name="Check Box 29" descr="Interdiction d'accueil du public (du ... au ...)"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9525</xdr:rowOff>
        </xdr:from>
        <xdr:to>
          <xdr:col>9</xdr:col>
          <xdr:colOff>571500</xdr:colOff>
          <xdr:row>73</xdr:row>
          <xdr:rowOff>180975</xdr:rowOff>
        </xdr:to>
        <xdr:sp macro="" textlink="">
          <xdr:nvSpPr>
            <xdr:cNvPr id="2078" name="Check Box 30" descr="Interdiction d'accueil du public (du ... au ...)"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9525</xdr:rowOff>
        </xdr:from>
        <xdr:to>
          <xdr:col>9</xdr:col>
          <xdr:colOff>571500</xdr:colOff>
          <xdr:row>75</xdr:row>
          <xdr:rowOff>180975</xdr:rowOff>
        </xdr:to>
        <xdr:sp macro="" textlink="">
          <xdr:nvSpPr>
            <xdr:cNvPr id="2080" name="Check Box 32" descr="Interdiction d'accueil du public (du ... au ...)"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9525</xdr:rowOff>
        </xdr:from>
        <xdr:to>
          <xdr:col>9</xdr:col>
          <xdr:colOff>571500</xdr:colOff>
          <xdr:row>79</xdr:row>
          <xdr:rowOff>180975</xdr:rowOff>
        </xdr:to>
        <xdr:sp macro="" textlink="">
          <xdr:nvSpPr>
            <xdr:cNvPr id="2081" name="Check Box 33" descr="Interdiction d'accueil du public (du ... au ...)"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9525</xdr:rowOff>
        </xdr:from>
        <xdr:to>
          <xdr:col>9</xdr:col>
          <xdr:colOff>571500</xdr:colOff>
          <xdr:row>77</xdr:row>
          <xdr:rowOff>180975</xdr:rowOff>
        </xdr:to>
        <xdr:sp macro="" textlink="">
          <xdr:nvSpPr>
            <xdr:cNvPr id="2082" name="Check Box 34" descr="Interdiction d'accueil du public (du ... au ...)"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9525</xdr:rowOff>
        </xdr:from>
        <xdr:to>
          <xdr:col>9</xdr:col>
          <xdr:colOff>571500</xdr:colOff>
          <xdr:row>83</xdr:row>
          <xdr:rowOff>180975</xdr:rowOff>
        </xdr:to>
        <xdr:sp macro="" textlink="">
          <xdr:nvSpPr>
            <xdr:cNvPr id="2083" name="Check Box 35" descr="Interdiction d'accueil du public (du ... au ...)"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9525</xdr:rowOff>
        </xdr:from>
        <xdr:to>
          <xdr:col>9</xdr:col>
          <xdr:colOff>571500</xdr:colOff>
          <xdr:row>85</xdr:row>
          <xdr:rowOff>180975</xdr:rowOff>
        </xdr:to>
        <xdr:sp macro="" textlink="">
          <xdr:nvSpPr>
            <xdr:cNvPr id="2084" name="Check Box 36" descr="Interdiction d'accueil du public (du ... au ...)"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9525</xdr:rowOff>
        </xdr:from>
        <xdr:to>
          <xdr:col>9</xdr:col>
          <xdr:colOff>571500</xdr:colOff>
          <xdr:row>81</xdr:row>
          <xdr:rowOff>180975</xdr:rowOff>
        </xdr:to>
        <xdr:sp macro="" textlink="">
          <xdr:nvSpPr>
            <xdr:cNvPr id="2086" name="Check Box 38" descr="Interdiction d'accueil du public (du ... au ...)"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87</xdr:row>
      <xdr:rowOff>113219</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3" name="Image 2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4" name="Image 2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5" name="Image 2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8" name="Image 2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6" name="Image 2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0" name="Image 2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7" name="Image 2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2" name="Image 3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168087</xdr:colOff>
      <xdr:row>1</xdr:row>
      <xdr:rowOff>0</xdr:rowOff>
    </xdr:from>
    <xdr:to>
      <xdr:col>7</xdr:col>
      <xdr:colOff>371475</xdr:colOff>
      <xdr:row>7</xdr:row>
      <xdr:rowOff>180975</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77687" y="200025"/>
          <a:ext cx="2784663"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18</xdr:col>
          <xdr:colOff>9525</xdr:colOff>
          <xdr:row>18</xdr:row>
          <xdr:rowOff>0</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ides_Fonds_de_solidarite%20ma%20version%20pour%20Sept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 Entreprise"/>
      <sheetName val="Mes Aides"/>
      <sheetName val="Explications des Calculs"/>
      <sheetName val="Aides Compl &quot;coûts fixes&quot;"/>
      <sheetName val="Feuil1"/>
      <sheetName val="Annexes"/>
      <sheetName val="Feuil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21" Type="http://schemas.openxmlformats.org/officeDocument/2006/relationships/ctrlProp" Target="../ctrlProps/ctrlProp12.xml"/><Relationship Id="rId34" Type="http://schemas.openxmlformats.org/officeDocument/2006/relationships/ctrlProp" Target="../ctrlProps/ctrlProp25.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2.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5" Type="http://schemas.openxmlformats.org/officeDocument/2006/relationships/hyperlink" Target="https://www.legifrance.gouv.fr/loda/id/JORFTEXT000041768315/"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8" Type="http://schemas.openxmlformats.org/officeDocument/2006/relationships/drawing" Target="../drawings/drawing1.xml"/><Relationship Id="rId3" Type="http://schemas.openxmlformats.org/officeDocument/2006/relationships/hyperlink" Target="https://www.legifrance.gouv.fr/jorf/id/JORFTEXT00004334479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238"/>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0"/>
      <c r="C1" s="40"/>
      <c r="D1" s="40"/>
      <c r="E1" s="40"/>
      <c r="F1" s="40"/>
      <c r="G1" s="40"/>
      <c r="H1" s="40"/>
      <c r="I1" s="40"/>
      <c r="J1" s="40"/>
      <c r="K1" s="40"/>
      <c r="L1" s="40"/>
      <c r="M1" s="40"/>
      <c r="N1" s="40"/>
      <c r="O1" s="40"/>
      <c r="P1" s="40"/>
    </row>
    <row r="2" spans="2:25" ht="15" customHeight="1">
      <c r="B2" s="40"/>
      <c r="C2" s="40"/>
      <c r="D2" s="40"/>
      <c r="E2" s="40"/>
      <c r="F2" s="40"/>
      <c r="G2" s="40"/>
      <c r="H2" s="436" t="s">
        <v>14</v>
      </c>
      <c r="I2" s="437"/>
      <c r="J2" s="438"/>
      <c r="K2" s="445"/>
      <c r="L2" s="446"/>
      <c r="M2" s="446"/>
      <c r="N2" s="446"/>
      <c r="O2" s="446"/>
      <c r="P2" s="447"/>
      <c r="S2" s="436" t="s">
        <v>41</v>
      </c>
      <c r="T2" s="437"/>
      <c r="U2" s="437"/>
      <c r="V2" s="438"/>
    </row>
    <row r="3" spans="2:25" ht="15" customHeight="1">
      <c r="B3" s="40"/>
      <c r="C3" s="40"/>
      <c r="D3" s="40"/>
      <c r="E3" s="40"/>
      <c r="F3" s="40"/>
      <c r="G3" s="40"/>
      <c r="H3" s="439"/>
      <c r="I3" s="440"/>
      <c r="J3" s="441"/>
      <c r="K3" s="448"/>
      <c r="L3" s="449"/>
      <c r="M3" s="449"/>
      <c r="N3" s="449"/>
      <c r="O3" s="449"/>
      <c r="P3" s="450"/>
      <c r="S3" s="439"/>
      <c r="T3" s="440"/>
      <c r="U3" s="440"/>
      <c r="V3" s="441"/>
    </row>
    <row r="4" spans="2:25" ht="15" customHeight="1" thickBot="1">
      <c r="B4" s="40"/>
      <c r="C4" s="40"/>
      <c r="D4" s="40"/>
      <c r="E4" s="40"/>
      <c r="F4" s="40"/>
      <c r="G4" s="40"/>
      <c r="H4" s="442"/>
      <c r="I4" s="443"/>
      <c r="J4" s="444"/>
      <c r="K4" s="451"/>
      <c r="L4" s="452"/>
      <c r="M4" s="452"/>
      <c r="N4" s="452"/>
      <c r="O4" s="452"/>
      <c r="P4" s="453"/>
      <c r="S4" s="82"/>
      <c r="T4" s="137" t="s">
        <v>54</v>
      </c>
      <c r="U4" s="138"/>
      <c r="V4" s="81"/>
    </row>
    <row r="5" spans="2:25" ht="15" customHeight="1" thickBot="1">
      <c r="B5" s="40"/>
      <c r="C5" s="40"/>
      <c r="D5" s="40"/>
      <c r="E5" s="40"/>
      <c r="F5" s="40"/>
      <c r="G5" s="40"/>
      <c r="H5" s="41"/>
      <c r="I5" s="41"/>
      <c r="J5" s="41"/>
      <c r="K5" s="42"/>
      <c r="L5" s="42"/>
      <c r="M5" s="42"/>
      <c r="N5" s="42"/>
      <c r="O5" s="42"/>
      <c r="P5" s="42"/>
      <c r="S5" s="82"/>
      <c r="T5" s="475" t="s">
        <v>35</v>
      </c>
      <c r="U5" s="475"/>
      <c r="V5" s="81"/>
    </row>
    <row r="6" spans="2:25" ht="15" customHeight="1" thickBot="1">
      <c r="B6" s="40"/>
      <c r="C6" s="40"/>
      <c r="D6" s="40"/>
      <c r="E6" s="40"/>
      <c r="F6" s="40"/>
      <c r="G6" s="40"/>
      <c r="H6" s="459" t="s">
        <v>55</v>
      </c>
      <c r="I6" s="460"/>
      <c r="J6" s="461"/>
      <c r="K6" s="457"/>
      <c r="L6" s="462"/>
      <c r="M6" s="462"/>
      <c r="N6" s="462"/>
      <c r="O6" s="462"/>
      <c r="P6" s="463"/>
      <c r="S6" s="82"/>
      <c r="T6" s="475"/>
      <c r="U6" s="475"/>
      <c r="V6" s="81"/>
    </row>
    <row r="7" spans="2:25" ht="15.75" thickBot="1">
      <c r="B7" s="40"/>
      <c r="C7" s="40"/>
      <c r="D7" s="40"/>
      <c r="E7" s="40"/>
      <c r="F7" s="40"/>
      <c r="G7" s="40"/>
      <c r="H7" s="40"/>
      <c r="I7" s="40"/>
      <c r="J7" s="40"/>
      <c r="K7" s="40"/>
      <c r="L7" s="40"/>
      <c r="M7" s="40"/>
      <c r="N7" s="40"/>
      <c r="O7" s="40"/>
      <c r="P7" s="40"/>
      <c r="S7" s="83"/>
      <c r="T7" s="84"/>
      <c r="U7" s="84"/>
      <c r="V7" s="85"/>
    </row>
    <row r="8" spans="2:25" ht="15.75" thickBot="1">
      <c r="B8" s="40"/>
      <c r="C8" s="40"/>
      <c r="D8" s="40"/>
      <c r="E8" s="40"/>
      <c r="F8" s="40"/>
      <c r="G8" s="40"/>
      <c r="H8" s="454" t="s">
        <v>15</v>
      </c>
      <c r="I8" s="455"/>
      <c r="J8" s="456"/>
      <c r="K8" s="457"/>
      <c r="L8" s="458"/>
      <c r="M8" s="468" t="s">
        <v>42</v>
      </c>
      <c r="N8" s="402"/>
      <c r="O8" s="402"/>
      <c r="P8" s="402"/>
    </row>
    <row r="9" spans="2:25" ht="23.25" customHeight="1" thickBot="1">
      <c r="B9" s="40"/>
      <c r="C9" s="40"/>
      <c r="D9" s="40"/>
      <c r="E9" s="40"/>
      <c r="F9" s="40"/>
      <c r="G9" s="40"/>
      <c r="H9" s="43"/>
      <c r="I9" s="40"/>
      <c r="J9" s="40"/>
      <c r="K9" s="40"/>
      <c r="L9" s="40"/>
      <c r="M9" s="40"/>
      <c r="N9" s="40"/>
      <c r="O9" s="40"/>
      <c r="P9" s="40"/>
      <c r="S9" s="477" t="s">
        <v>67</v>
      </c>
      <c r="T9" s="477"/>
      <c r="U9" s="477"/>
      <c r="V9" s="477"/>
    </row>
    <row r="10" spans="2:25" ht="15" customHeight="1">
      <c r="B10" s="464" t="s">
        <v>38</v>
      </c>
      <c r="C10" s="465"/>
      <c r="D10" s="465"/>
      <c r="E10" s="465"/>
      <c r="F10" s="465"/>
      <c r="G10" s="472" t="s">
        <v>50</v>
      </c>
      <c r="H10" s="473"/>
      <c r="I10" s="473"/>
      <c r="J10" s="473"/>
      <c r="K10" s="473"/>
      <c r="L10" s="474"/>
      <c r="M10" s="91"/>
      <c r="N10" s="91"/>
      <c r="O10" s="91"/>
      <c r="P10" s="91"/>
      <c r="S10" s="477"/>
      <c r="T10" s="477"/>
      <c r="U10" s="477"/>
      <c r="V10" s="477"/>
    </row>
    <row r="11" spans="2:25" ht="15" customHeight="1" thickBot="1">
      <c r="B11" s="466"/>
      <c r="C11" s="467"/>
      <c r="D11" s="467"/>
      <c r="E11" s="467"/>
      <c r="F11" s="467"/>
      <c r="G11" s="469" t="s">
        <v>37</v>
      </c>
      <c r="H11" s="470"/>
      <c r="I11" s="470"/>
      <c r="J11" s="470"/>
      <c r="K11" s="470"/>
      <c r="L11" s="471"/>
      <c r="M11" s="91"/>
      <c r="N11" s="91"/>
      <c r="O11" s="91"/>
      <c r="P11" s="91"/>
      <c r="S11" s="112"/>
      <c r="T11" s="428" t="s">
        <v>66</v>
      </c>
      <c r="U11" s="476"/>
      <c r="V11" s="112"/>
    </row>
    <row r="12" spans="2:25" ht="15" customHeight="1">
      <c r="B12" s="101"/>
      <c r="C12" s="101"/>
      <c r="D12" s="101"/>
      <c r="E12" s="101"/>
      <c r="F12" s="101"/>
      <c r="G12" s="96"/>
      <c r="H12" s="96"/>
      <c r="I12" s="96"/>
      <c r="J12" s="96"/>
      <c r="K12" s="96"/>
      <c r="L12" s="96"/>
      <c r="M12" s="91"/>
      <c r="N12" s="91"/>
      <c r="O12" s="91"/>
      <c r="P12" s="91"/>
      <c r="S12" s="106"/>
      <c r="T12" s="476"/>
      <c r="U12" s="476"/>
      <c r="V12" s="106"/>
      <c r="W12" s="99"/>
      <c r="X12" s="99"/>
      <c r="Y12" s="99"/>
    </row>
    <row r="13" spans="2:25" ht="15" customHeight="1">
      <c r="B13" s="97"/>
      <c r="C13" s="97"/>
      <c r="D13" s="97"/>
      <c r="E13" s="97"/>
      <c r="F13" s="97"/>
      <c r="G13" s="96"/>
      <c r="H13" s="96"/>
      <c r="I13" s="96"/>
      <c r="J13" s="96"/>
      <c r="K13" s="96"/>
      <c r="L13" s="96"/>
      <c r="M13" s="91"/>
      <c r="N13" s="91"/>
      <c r="O13" s="91"/>
      <c r="P13" s="91"/>
      <c r="S13" s="106"/>
      <c r="T13" s="428" t="s">
        <v>432</v>
      </c>
      <c r="U13" s="428"/>
      <c r="V13" s="106"/>
      <c r="W13" s="99"/>
      <c r="X13" s="99"/>
      <c r="Y13" s="99"/>
    </row>
    <row r="14" spans="2:25" ht="15" customHeight="1">
      <c r="B14" s="60" t="s">
        <v>53</v>
      </c>
      <c r="C14" s="40"/>
      <c r="D14" s="40"/>
      <c r="E14" s="40"/>
      <c r="F14" s="40"/>
      <c r="G14" s="40"/>
      <c r="H14" s="43"/>
      <c r="I14" s="40"/>
      <c r="J14" s="40"/>
      <c r="K14" s="40"/>
      <c r="L14" s="40"/>
      <c r="M14" s="40"/>
      <c r="N14" s="40"/>
      <c r="O14" s="40"/>
      <c r="P14" s="40"/>
      <c r="S14" s="106"/>
      <c r="T14" s="428"/>
      <c r="U14" s="428"/>
      <c r="V14" s="106"/>
    </row>
    <row r="15" spans="2:25" ht="15" customHeight="1">
      <c r="B15" s="423" t="s">
        <v>57</v>
      </c>
      <c r="C15" s="423"/>
      <c r="D15" s="423"/>
      <c r="E15" s="423"/>
      <c r="F15" s="423"/>
      <c r="G15" s="423"/>
      <c r="H15" s="40"/>
      <c r="I15" s="40"/>
      <c r="J15" s="40"/>
      <c r="K15" s="40"/>
      <c r="L15" s="40"/>
      <c r="M15" s="40"/>
      <c r="N15" s="40"/>
      <c r="O15" s="40"/>
      <c r="P15" s="40"/>
      <c r="Q15" s="39"/>
      <c r="R15" s="39"/>
      <c r="S15" s="106"/>
      <c r="T15" s="428"/>
      <c r="U15" s="428"/>
      <c r="V15" s="106"/>
    </row>
    <row r="16" spans="2:25" ht="15" customHeight="1">
      <c r="B16" s="40"/>
      <c r="C16" s="40"/>
      <c r="D16" s="40"/>
      <c r="E16" s="40"/>
      <c r="F16" s="40"/>
      <c r="G16" s="40"/>
      <c r="H16" s="40"/>
      <c r="I16" s="40"/>
      <c r="J16" s="40"/>
      <c r="K16" s="40"/>
      <c r="L16" s="40"/>
      <c r="M16" s="40"/>
      <c r="N16" s="40"/>
      <c r="O16" s="40"/>
      <c r="P16" s="40"/>
      <c r="Q16" s="39"/>
      <c r="R16" s="102"/>
      <c r="S16" s="106"/>
      <c r="T16" s="428" t="s">
        <v>431</v>
      </c>
      <c r="U16" s="428"/>
      <c r="V16" s="106"/>
      <c r="W16" s="5"/>
    </row>
    <row r="17" spans="2:22" ht="15.75" customHeight="1">
      <c r="B17" s="423" t="s">
        <v>56</v>
      </c>
      <c r="C17" s="423"/>
      <c r="D17" s="423"/>
      <c r="E17" s="423"/>
      <c r="F17" s="423"/>
      <c r="G17" s="423"/>
      <c r="H17" s="40"/>
      <c r="I17" s="40"/>
      <c r="J17" s="40"/>
      <c r="K17" s="40"/>
      <c r="L17" s="40"/>
      <c r="M17" s="40"/>
      <c r="N17" s="40"/>
      <c r="O17" s="40"/>
      <c r="P17" s="40"/>
      <c r="Q17" s="31"/>
      <c r="R17" s="31"/>
      <c r="S17" s="106"/>
      <c r="T17" s="428"/>
      <c r="U17" s="428"/>
      <c r="V17" s="106"/>
    </row>
    <row r="18" spans="2:22">
      <c r="B18" s="40"/>
      <c r="C18" s="40"/>
      <c r="D18" s="40"/>
      <c r="E18" s="431" t="s">
        <v>59</v>
      </c>
      <c r="F18" s="431"/>
      <c r="G18" s="431"/>
      <c r="H18" s="431"/>
      <c r="I18" s="431"/>
      <c r="J18" s="431"/>
      <c r="K18" s="431"/>
      <c r="L18" s="431"/>
      <c r="M18" s="431"/>
      <c r="N18" s="431"/>
      <c r="O18" s="431"/>
      <c r="P18" s="40"/>
      <c r="S18" s="106"/>
      <c r="T18" s="428"/>
      <c r="U18" s="428"/>
      <c r="V18" s="106"/>
    </row>
    <row r="19" spans="2:22" ht="15.75" customHeight="1">
      <c r="B19" s="40"/>
      <c r="C19" s="40"/>
      <c r="D19" s="40"/>
      <c r="E19" s="431" t="s">
        <v>107</v>
      </c>
      <c r="F19" s="431"/>
      <c r="G19" s="431"/>
      <c r="H19" s="431"/>
      <c r="I19" s="431"/>
      <c r="J19" s="431"/>
      <c r="K19" s="431"/>
      <c r="L19" s="431"/>
      <c r="M19" s="431"/>
      <c r="N19" s="431"/>
      <c r="O19" s="431"/>
      <c r="P19" s="40"/>
      <c r="S19" s="106"/>
      <c r="T19" s="428" t="s">
        <v>430</v>
      </c>
      <c r="U19" s="428"/>
      <c r="V19" s="105"/>
    </row>
    <row r="20" spans="2:22" ht="15.75" customHeight="1">
      <c r="B20" s="40"/>
      <c r="C20" s="40"/>
      <c r="D20" s="40"/>
      <c r="E20" s="431" t="s">
        <v>299</v>
      </c>
      <c r="F20" s="431"/>
      <c r="G20" s="431"/>
      <c r="H20" s="431"/>
      <c r="I20" s="431"/>
      <c r="J20" s="431"/>
      <c r="K20" s="431"/>
      <c r="L20" s="431"/>
      <c r="M20" s="431"/>
      <c r="N20" s="431"/>
      <c r="O20" s="431"/>
      <c r="P20" s="40"/>
      <c r="S20" s="106"/>
      <c r="T20" s="428"/>
      <c r="U20" s="428"/>
      <c r="V20" s="105"/>
    </row>
    <row r="21" spans="2:22" ht="15.75" customHeight="1">
      <c r="B21" s="40"/>
      <c r="C21" s="40"/>
      <c r="D21" s="431" t="s">
        <v>343</v>
      </c>
      <c r="E21" s="431"/>
      <c r="F21" s="431"/>
      <c r="G21" s="431"/>
      <c r="H21" s="431"/>
      <c r="I21" s="431"/>
      <c r="J21" s="431"/>
      <c r="K21" s="431"/>
      <c r="L21" s="431"/>
      <c r="M21" s="431"/>
      <c r="N21" s="431"/>
      <c r="O21" s="431"/>
      <c r="P21" s="40"/>
      <c r="S21" s="106"/>
      <c r="T21" s="428"/>
      <c r="U21" s="428"/>
      <c r="V21" s="105"/>
    </row>
    <row r="22" spans="2:22" ht="15.75">
      <c r="B22" s="40"/>
      <c r="C22" s="40"/>
      <c r="D22" s="40"/>
      <c r="E22" s="431" t="str">
        <f>IF(AND(Annexes!F5&gt;1,Annexes!F7&gt;1),"Veuillez-vous assurer qu'il n'y ait qu'une seule activité de sélectionnée entre l'annexe 1 et 2","")</f>
        <v/>
      </c>
      <c r="F22" s="431"/>
      <c r="G22" s="431"/>
      <c r="H22" s="431"/>
      <c r="I22" s="431"/>
      <c r="J22" s="431"/>
      <c r="K22" s="431"/>
      <c r="L22" s="431"/>
      <c r="M22" s="431"/>
      <c r="N22" s="431"/>
      <c r="O22" s="431"/>
      <c r="P22" s="40"/>
      <c r="S22" s="106"/>
      <c r="T22" s="428"/>
      <c r="U22" s="428"/>
      <c r="V22" s="105"/>
    </row>
    <row r="23" spans="2:22" ht="15.75">
      <c r="B23" s="40"/>
      <c r="C23" s="40"/>
      <c r="D23" s="40"/>
      <c r="E23" s="207"/>
      <c r="F23" s="207"/>
      <c r="G23" s="207"/>
      <c r="H23" s="207"/>
      <c r="I23" s="207"/>
      <c r="J23" s="207"/>
      <c r="K23" s="207"/>
      <c r="L23" s="207"/>
      <c r="M23" s="207"/>
      <c r="N23" s="207"/>
      <c r="O23" s="207"/>
      <c r="P23" s="40"/>
      <c r="S23" s="105"/>
      <c r="T23" s="428" t="s">
        <v>70</v>
      </c>
      <c r="U23" s="428"/>
      <c r="V23" s="105"/>
    </row>
    <row r="24" spans="2:22" ht="15.75" customHeight="1">
      <c r="B24" s="40"/>
      <c r="C24" s="40"/>
      <c r="D24" s="40"/>
      <c r="E24" s="429" t="s">
        <v>306</v>
      </c>
      <c r="F24" s="429"/>
      <c r="G24" s="429"/>
      <c r="H24" s="429"/>
      <c r="I24" s="429"/>
      <c r="J24" s="429"/>
      <c r="K24" s="429"/>
      <c r="L24" s="429"/>
      <c r="M24" s="429"/>
      <c r="N24" s="429"/>
      <c r="O24" s="429"/>
      <c r="P24" s="429"/>
      <c r="Q24" s="429"/>
      <c r="S24" s="105"/>
      <c r="T24" s="428"/>
      <c r="U24" s="428"/>
      <c r="V24" s="105"/>
    </row>
    <row r="25" spans="2:22" ht="15.75" customHeight="1">
      <c r="B25" s="40"/>
      <c r="C25" s="40"/>
      <c r="D25" s="40"/>
      <c r="E25" s="430" t="str">
        <f>IF(AND(OR(Annexes!F5&gt;1,Annexes!F7&gt;1),Annexes!M17=TRUE),"Veuillez-vous assurer qu'il n'y ait qu'une seule activité de sélectionnée entre l'annexe 1, 2 et 3","")</f>
        <v/>
      </c>
      <c r="F25" s="430"/>
      <c r="G25" s="430"/>
      <c r="H25" s="430"/>
      <c r="I25" s="430"/>
      <c r="J25" s="430"/>
      <c r="K25" s="430"/>
      <c r="L25" s="430"/>
      <c r="M25" s="430"/>
      <c r="N25" s="430"/>
      <c r="O25" s="430"/>
      <c r="P25" s="430"/>
      <c r="Q25" s="217"/>
      <c r="S25" s="105"/>
      <c r="T25" s="428"/>
      <c r="U25" s="428"/>
      <c r="V25" s="105"/>
    </row>
    <row r="26" spans="2:22" ht="31.5" customHeight="1">
      <c r="B26" s="40"/>
      <c r="C26" s="40"/>
      <c r="D26" s="40"/>
      <c r="E26" s="418" t="s">
        <v>384</v>
      </c>
      <c r="F26" s="418"/>
      <c r="G26" s="418"/>
      <c r="H26" s="418"/>
      <c r="I26" s="418"/>
      <c r="J26" s="418"/>
      <c r="K26" s="418"/>
      <c r="L26" s="418"/>
      <c r="M26" s="418"/>
      <c r="N26" s="418"/>
      <c r="O26" s="418"/>
      <c r="P26" s="418"/>
      <c r="Q26" s="418"/>
      <c r="S26" s="105"/>
      <c r="T26" s="428"/>
      <c r="U26" s="428"/>
      <c r="V26" s="105"/>
    </row>
    <row r="27" spans="2:22" ht="15.75" customHeight="1">
      <c r="B27" s="40"/>
      <c r="C27" s="40"/>
      <c r="D27" s="40"/>
      <c r="E27" s="482" t="str">
        <f>IF(AND(OR(Annexes!F5&gt;1,Annexes!F7&gt;1),Annexes!M23=TRUE),"Veuillez-vous assurer qu'il n'y ait qu'une seule activité de sélectionnée entre l'annexe 1, 2 et exercant dans un centre commercial","")</f>
        <v/>
      </c>
      <c r="F27" s="482"/>
      <c r="G27" s="482"/>
      <c r="H27" s="482"/>
      <c r="I27" s="482"/>
      <c r="J27" s="482"/>
      <c r="K27" s="482"/>
      <c r="L27" s="482"/>
      <c r="M27" s="482"/>
      <c r="N27" s="482"/>
      <c r="O27" s="482"/>
      <c r="P27" s="482"/>
      <c r="S27" s="5"/>
      <c r="T27" s="92"/>
      <c r="U27" s="92"/>
      <c r="V27" s="92"/>
    </row>
    <row r="28" spans="2:22" ht="15.75" customHeight="1">
      <c r="B28" s="40"/>
      <c r="C28" s="40"/>
      <c r="D28" s="40"/>
      <c r="E28" s="418" t="s">
        <v>450</v>
      </c>
      <c r="F28" s="418"/>
      <c r="G28" s="418"/>
      <c r="H28" s="418"/>
      <c r="I28" s="418"/>
      <c r="J28" s="418"/>
      <c r="K28" s="418"/>
      <c r="L28" s="418"/>
      <c r="M28" s="418"/>
      <c r="N28" s="418"/>
      <c r="O28" s="418"/>
      <c r="P28" s="418"/>
      <c r="Q28" s="418"/>
      <c r="S28" s="5"/>
      <c r="T28" s="92"/>
      <c r="U28" s="92"/>
      <c r="V28" s="92"/>
    </row>
    <row r="29" spans="2:22" ht="15.75" customHeight="1">
      <c r="B29" s="40"/>
      <c r="C29" s="40"/>
      <c r="D29" s="40"/>
      <c r="E29" s="418"/>
      <c r="F29" s="418"/>
      <c r="G29" s="418"/>
      <c r="H29" s="418"/>
      <c r="I29" s="418"/>
      <c r="J29" s="418"/>
      <c r="K29" s="418"/>
      <c r="L29" s="418"/>
      <c r="M29" s="418"/>
      <c r="N29" s="418"/>
      <c r="O29" s="418"/>
      <c r="P29" s="418"/>
      <c r="Q29" s="418"/>
      <c r="S29" s="5"/>
      <c r="T29" s="92"/>
      <c r="U29" s="92"/>
      <c r="V29" s="92"/>
    </row>
    <row r="30" spans="2:22" ht="15.75">
      <c r="B30" s="40"/>
      <c r="C30" s="40"/>
      <c r="D30" s="40"/>
      <c r="E30" s="40"/>
      <c r="F30" s="40"/>
      <c r="G30" s="40"/>
      <c r="H30" s="40"/>
      <c r="I30" s="40"/>
      <c r="J30" s="40"/>
      <c r="K30" s="40"/>
      <c r="L30" s="40"/>
      <c r="M30" s="40"/>
      <c r="N30" s="40"/>
      <c r="O30" s="40"/>
      <c r="P30" s="40"/>
      <c r="S30" s="93"/>
      <c r="T30" s="93"/>
      <c r="U30" s="94"/>
      <c r="V30" s="95"/>
    </row>
    <row r="31" spans="2:22">
      <c r="B31" s="40"/>
      <c r="C31" s="40"/>
      <c r="D31" s="40"/>
      <c r="E31" s="413" t="s">
        <v>58</v>
      </c>
      <c r="F31" s="413"/>
      <c r="G31" s="413"/>
      <c r="H31" s="413"/>
      <c r="I31" s="413"/>
      <c r="J31" s="413"/>
      <c r="K31" s="413"/>
      <c r="L31" s="40"/>
      <c r="M31" s="40"/>
      <c r="N31" s="40"/>
      <c r="O31" s="40"/>
      <c r="P31" s="40"/>
      <c r="U31" s="1"/>
    </row>
    <row r="32" spans="2:22">
      <c r="B32" s="40"/>
      <c r="C32" s="40"/>
      <c r="D32" s="40"/>
      <c r="E32" s="432" t="s">
        <v>86</v>
      </c>
      <c r="F32" s="432"/>
      <c r="G32" s="432"/>
      <c r="H32" s="432"/>
      <c r="I32" s="432"/>
      <c r="J32" s="432"/>
      <c r="K32" s="432"/>
      <c r="L32" s="432"/>
      <c r="M32" s="432"/>
      <c r="N32" s="432"/>
      <c r="O32" s="432"/>
      <c r="P32" s="432"/>
      <c r="U32" s="1"/>
    </row>
    <row r="33" spans="1:29">
      <c r="B33" s="40"/>
      <c r="C33" s="40"/>
      <c r="D33" s="40"/>
      <c r="E33" s="432"/>
      <c r="F33" s="432"/>
      <c r="G33" s="432"/>
      <c r="H33" s="432"/>
      <c r="I33" s="432"/>
      <c r="J33" s="432"/>
      <c r="K33" s="432"/>
      <c r="L33" s="432"/>
      <c r="M33" s="432"/>
      <c r="N33" s="432"/>
      <c r="O33" s="432"/>
      <c r="P33" s="432"/>
      <c r="U33" s="1"/>
    </row>
    <row r="34" spans="1:29">
      <c r="B34" s="40"/>
      <c r="C34" s="64"/>
      <c r="D34" s="40"/>
      <c r="E34" s="413" t="s">
        <v>64</v>
      </c>
      <c r="F34" s="413"/>
      <c r="G34" s="413"/>
      <c r="H34" s="413"/>
      <c r="I34" s="413"/>
      <c r="J34" s="413"/>
      <c r="K34" s="64"/>
      <c r="L34" s="64"/>
      <c r="M34" s="64"/>
      <c r="N34" s="64"/>
      <c r="O34" s="64"/>
      <c r="P34" s="64"/>
      <c r="Q34" s="78"/>
      <c r="U34" s="1"/>
    </row>
    <row r="35" spans="1:29" ht="7.5" customHeight="1">
      <c r="A35" s="147"/>
      <c r="B35" s="65"/>
      <c r="C35" s="157"/>
      <c r="D35" s="44"/>
      <c r="E35" s="45"/>
      <c r="F35" s="45"/>
      <c r="G35" s="45"/>
      <c r="H35" s="45"/>
      <c r="I35" s="45"/>
      <c r="J35" s="86"/>
      <c r="K35" s="69"/>
      <c r="L35" s="69"/>
      <c r="M35" s="69"/>
      <c r="N35" s="69"/>
      <c r="O35" s="69"/>
      <c r="P35" s="69"/>
      <c r="Q35" s="70"/>
      <c r="U35" s="1"/>
    </row>
    <row r="36" spans="1:29">
      <c r="B36" s="65"/>
      <c r="C36" s="44"/>
      <c r="D36" s="44"/>
      <c r="E36" s="45"/>
      <c r="F36" s="45"/>
      <c r="G36" s="45"/>
      <c r="H36" s="45"/>
      <c r="I36" s="45"/>
      <c r="J36" s="45"/>
      <c r="K36" s="40"/>
      <c r="L36" s="40"/>
      <c r="M36" s="87" t="s">
        <v>10</v>
      </c>
      <c r="N36" s="47"/>
      <c r="O36" s="48"/>
      <c r="P36" s="87" t="s">
        <v>11</v>
      </c>
      <c r="Q36" s="68"/>
      <c r="U36" s="1"/>
    </row>
    <row r="37" spans="1:29" ht="6.75" customHeight="1">
      <c r="B37" s="65"/>
      <c r="C37" s="44"/>
      <c r="D37" s="44"/>
      <c r="E37" s="40"/>
      <c r="F37" s="40"/>
      <c r="G37" s="40"/>
      <c r="H37" s="40"/>
      <c r="I37" s="40"/>
      <c r="J37" s="40"/>
      <c r="K37" s="40"/>
      <c r="L37" s="40"/>
      <c r="M37" s="40"/>
      <c r="N37" s="40"/>
      <c r="O37" s="44"/>
      <c r="P37" s="40"/>
      <c r="Q37" s="68"/>
      <c r="R37" s="1"/>
      <c r="U37" s="1"/>
    </row>
    <row r="38" spans="1:29">
      <c r="B38" s="65"/>
      <c r="C38" s="44"/>
      <c r="D38" s="44"/>
      <c r="E38" s="76" t="s">
        <v>51</v>
      </c>
      <c r="F38" s="40"/>
      <c r="G38" s="40"/>
      <c r="H38" s="40"/>
      <c r="I38" s="40"/>
      <c r="J38" s="40"/>
      <c r="K38" s="40"/>
      <c r="L38" s="40"/>
      <c r="M38" s="40"/>
      <c r="N38" s="40"/>
      <c r="O38" s="44"/>
      <c r="P38" s="40"/>
      <c r="Q38" s="68"/>
      <c r="R38" s="1"/>
      <c r="U38" s="1"/>
      <c r="AC38" s="17">
        <v>333</v>
      </c>
    </row>
    <row r="39" spans="1:29">
      <c r="B39" s="65"/>
      <c r="C39" s="44"/>
      <c r="D39" s="44"/>
      <c r="E39" s="40"/>
      <c r="F39" s="40"/>
      <c r="G39" s="40"/>
      <c r="H39" s="40"/>
      <c r="I39" s="40"/>
      <c r="J39" s="40"/>
      <c r="K39" s="49"/>
      <c r="L39" s="40"/>
      <c r="M39" s="40"/>
      <c r="N39" s="44"/>
      <c r="O39" s="44"/>
      <c r="P39" s="40"/>
      <c r="Q39" s="68"/>
      <c r="U39" s="1"/>
    </row>
    <row r="40" spans="1:29" hidden="1">
      <c r="B40" s="65"/>
      <c r="C40" s="44"/>
      <c r="D40" s="44"/>
      <c r="E40" s="40"/>
      <c r="F40" s="40"/>
      <c r="G40" s="40"/>
      <c r="H40" s="40"/>
      <c r="I40" s="40"/>
      <c r="J40" s="49"/>
      <c r="K40" s="40"/>
      <c r="L40" s="40"/>
      <c r="M40" s="40"/>
      <c r="N40" s="40"/>
      <c r="O40" s="46"/>
      <c r="P40" s="40"/>
      <c r="Q40" s="68"/>
      <c r="U40" s="1"/>
    </row>
    <row r="41" spans="1:29" hidden="1">
      <c r="B41" s="65"/>
      <c r="C41" s="44"/>
      <c r="D41" s="44"/>
      <c r="E41" s="49" t="s">
        <v>60</v>
      </c>
      <c r="F41" s="45"/>
      <c r="G41" s="45"/>
      <c r="H41" s="45"/>
      <c r="I41" s="45"/>
      <c r="J41" s="49"/>
      <c r="K41" s="40"/>
      <c r="L41" s="40"/>
      <c r="M41" s="40"/>
      <c r="N41" s="44"/>
      <c r="O41" s="46"/>
      <c r="P41" s="40"/>
      <c r="Q41" s="68"/>
      <c r="U41" s="1"/>
    </row>
    <row r="42" spans="1:29" hidden="1">
      <c r="B42" s="65"/>
      <c r="C42" s="44"/>
      <c r="D42" s="44"/>
      <c r="E42" s="40"/>
      <c r="F42" s="40"/>
      <c r="G42" s="40"/>
      <c r="H42" s="40"/>
      <c r="I42" s="40"/>
      <c r="J42" s="49"/>
      <c r="K42" s="40"/>
      <c r="L42" s="40"/>
      <c r="M42" s="40"/>
      <c r="N42" s="40"/>
      <c r="O42" s="46"/>
      <c r="P42" s="40"/>
      <c r="Q42" s="68"/>
      <c r="U42" s="1"/>
    </row>
    <row r="43" spans="1:29" hidden="1">
      <c r="B43" s="65"/>
      <c r="C43" s="44"/>
      <c r="D43" s="44"/>
      <c r="E43" s="40" t="s">
        <v>61</v>
      </c>
      <c r="F43" s="40"/>
      <c r="G43" s="40"/>
      <c r="H43" s="40"/>
      <c r="I43" s="40"/>
      <c r="J43" s="40"/>
      <c r="K43" s="40"/>
      <c r="L43" s="40"/>
      <c r="M43" s="40"/>
      <c r="N43" s="44"/>
      <c r="O43" s="46"/>
      <c r="P43" s="40"/>
      <c r="Q43" s="68"/>
      <c r="U43" s="1"/>
    </row>
    <row r="44" spans="1:29" ht="6.75" customHeight="1">
      <c r="B44" s="65"/>
      <c r="C44" s="66"/>
      <c r="D44" s="64"/>
      <c r="E44" s="64"/>
      <c r="F44" s="64"/>
      <c r="G44" s="64"/>
      <c r="H44" s="64"/>
      <c r="I44" s="64"/>
      <c r="J44" s="64"/>
      <c r="K44" s="67"/>
      <c r="L44" s="64"/>
      <c r="M44" s="64"/>
      <c r="N44" s="64"/>
      <c r="O44" s="64"/>
      <c r="P44" s="64"/>
      <c r="Q44" s="75"/>
      <c r="U44" s="1"/>
    </row>
    <row r="45" spans="1:29">
      <c r="B45" s="40"/>
      <c r="C45" s="40"/>
      <c r="D45" s="40"/>
      <c r="E45" s="435" t="str">
        <f>IF(Annexes!M9=FALSE,"","le CA réalisé sur les activités de vente à distance avec retrait en magasin ou livraison ne sont pas à prendre en compte")</f>
        <v/>
      </c>
      <c r="F45" s="435"/>
      <c r="G45" s="435"/>
      <c r="H45" s="435"/>
      <c r="I45" s="435"/>
      <c r="J45" s="435"/>
      <c r="K45" s="435"/>
      <c r="L45" s="435"/>
      <c r="M45" s="435"/>
      <c r="N45" s="435"/>
      <c r="O45" s="435"/>
      <c r="P45" s="435"/>
      <c r="U45" s="1"/>
    </row>
    <row r="46" spans="1:29">
      <c r="B46" s="40"/>
      <c r="C46" s="40"/>
      <c r="D46" s="40"/>
      <c r="E46" s="40"/>
      <c r="F46" s="40"/>
      <c r="G46" s="40"/>
      <c r="H46" s="40"/>
      <c r="I46" s="40"/>
      <c r="J46" s="40"/>
      <c r="K46" s="49"/>
      <c r="L46" s="40"/>
      <c r="M46" s="40"/>
      <c r="N46" s="40"/>
      <c r="O46" s="40"/>
      <c r="P46" s="40"/>
      <c r="U46" s="1"/>
    </row>
    <row r="47" spans="1:29">
      <c r="B47" s="40"/>
      <c r="C47" s="40"/>
      <c r="D47" s="40"/>
      <c r="E47" s="413" t="s">
        <v>303</v>
      </c>
      <c r="F47" s="413"/>
      <c r="G47" s="413"/>
      <c r="H47" s="413"/>
      <c r="I47" s="413"/>
      <c r="J47" s="413"/>
      <c r="K47" s="40"/>
      <c r="L47" s="40"/>
      <c r="M47" s="40"/>
      <c r="N47" s="40"/>
      <c r="O47" s="40"/>
      <c r="P47" s="40"/>
      <c r="U47" s="1"/>
    </row>
    <row r="48" spans="1:29">
      <c r="B48" s="40"/>
      <c r="C48" s="40"/>
      <c r="D48" s="40"/>
      <c r="E48" s="426" t="str">
        <f>IF(Annexes!M11=FALSE,"","le CA réalisé sur les activités de vente à distance avec retrait en magasin ou livraison ne sont pas à prendre en compte")</f>
        <v/>
      </c>
      <c r="F48" s="426"/>
      <c r="G48" s="426"/>
      <c r="H48" s="426"/>
      <c r="I48" s="426"/>
      <c r="J48" s="426"/>
      <c r="K48" s="426"/>
      <c r="L48" s="426"/>
      <c r="M48" s="426"/>
      <c r="N48" s="426"/>
      <c r="O48" s="426"/>
      <c r="P48" s="426"/>
      <c r="U48" s="1"/>
    </row>
    <row r="49" spans="1:21">
      <c r="B49" s="40"/>
      <c r="C49" s="40"/>
      <c r="D49" s="40"/>
      <c r="E49" s="414" t="s">
        <v>302</v>
      </c>
      <c r="F49" s="414"/>
      <c r="G49" s="414"/>
      <c r="H49" s="414"/>
      <c r="I49" s="414"/>
      <c r="J49" s="414"/>
      <c r="K49" s="40"/>
      <c r="L49" s="40"/>
      <c r="M49" s="40"/>
      <c r="N49" s="40"/>
      <c r="O49" s="40"/>
      <c r="P49" s="40"/>
      <c r="U49" s="1"/>
    </row>
    <row r="50" spans="1:21" ht="22.5" customHeight="1">
      <c r="B50" s="40"/>
      <c r="C50" s="40"/>
      <c r="D50" s="40"/>
      <c r="E50" s="427" t="str">
        <f>IF(Annexes!M15=FALSE,"","le CA réalisé sur les activités de vente à distance avec retrait en magasin ou livraison ne sont pas à prendre en compte pour les fermetures administratives suite au décret n° 2021-32 du 16 Janvier 2021")</f>
        <v/>
      </c>
      <c r="F50" s="427"/>
      <c r="G50" s="427"/>
      <c r="H50" s="427"/>
      <c r="I50" s="427"/>
      <c r="J50" s="427"/>
      <c r="K50" s="427"/>
      <c r="L50" s="427"/>
      <c r="M50" s="427"/>
      <c r="N50" s="427"/>
      <c r="O50" s="427"/>
      <c r="P50" s="427"/>
      <c r="R50" s="2"/>
      <c r="U50" s="1"/>
    </row>
    <row r="51" spans="1:21" ht="15" customHeight="1">
      <c r="B51" s="40"/>
      <c r="C51" s="40"/>
      <c r="D51" s="40"/>
      <c r="E51" s="244"/>
      <c r="F51" s="244"/>
      <c r="G51" s="244"/>
      <c r="H51" s="244"/>
      <c r="I51" s="244"/>
      <c r="J51" s="244"/>
      <c r="K51" s="244"/>
      <c r="L51" s="244"/>
      <c r="M51" s="244"/>
      <c r="N51" s="244"/>
      <c r="O51" s="244"/>
      <c r="P51" s="244"/>
      <c r="R51" s="2"/>
      <c r="U51" s="1"/>
    </row>
    <row r="52" spans="1:21">
      <c r="B52" s="40"/>
      <c r="C52" s="40"/>
      <c r="D52" s="40"/>
      <c r="E52" s="413" t="s">
        <v>300</v>
      </c>
      <c r="F52" s="413"/>
      <c r="G52" s="413"/>
      <c r="H52" s="413"/>
      <c r="I52" s="413"/>
      <c r="J52" s="413"/>
      <c r="K52" s="40"/>
      <c r="L52" s="40"/>
      <c r="M52" s="40"/>
      <c r="N52" s="40"/>
      <c r="O52" s="40"/>
      <c r="P52" s="40"/>
      <c r="U52" s="1"/>
    </row>
    <row r="53" spans="1:21">
      <c r="B53" s="40"/>
      <c r="C53" s="40"/>
      <c r="D53" s="40"/>
      <c r="E53" s="256"/>
      <c r="F53" s="256"/>
      <c r="G53" s="256"/>
      <c r="H53" s="256"/>
      <c r="I53" s="256"/>
      <c r="J53" s="256"/>
      <c r="K53" s="40"/>
      <c r="L53" s="40"/>
      <c r="M53" s="40"/>
      <c r="N53" s="40"/>
      <c r="O53" s="40"/>
      <c r="P53" s="40"/>
      <c r="U53" s="1"/>
    </row>
    <row r="54" spans="1:21">
      <c r="B54" s="40"/>
      <c r="C54" s="40"/>
      <c r="D54" s="40"/>
      <c r="E54" s="418" t="s">
        <v>388</v>
      </c>
      <c r="F54" s="418"/>
      <c r="G54" s="418"/>
      <c r="H54" s="418"/>
      <c r="I54" s="418"/>
      <c r="J54" s="418"/>
      <c r="K54" s="418"/>
      <c r="L54" s="418"/>
      <c r="M54" s="418"/>
      <c r="N54" s="418"/>
      <c r="O54" s="418"/>
      <c r="P54" s="418"/>
      <c r="U54" s="1"/>
    </row>
    <row r="55" spans="1:21">
      <c r="A55" s="297" t="s">
        <v>45</v>
      </c>
      <c r="B55" s="40"/>
      <c r="C55" s="40"/>
      <c r="D55" s="40"/>
      <c r="E55" s="418"/>
      <c r="F55" s="418"/>
      <c r="G55" s="418"/>
      <c r="H55" s="418"/>
      <c r="I55" s="418"/>
      <c r="J55" s="418"/>
      <c r="K55" s="418"/>
      <c r="L55" s="418"/>
      <c r="M55" s="418"/>
      <c r="N55" s="418"/>
      <c r="O55" s="418"/>
      <c r="P55" s="418"/>
      <c r="U55" s="1"/>
    </row>
    <row r="56" spans="1:21">
      <c r="A56" s="297" t="s">
        <v>46</v>
      </c>
      <c r="B56" s="40"/>
      <c r="C56" s="40"/>
      <c r="D56" s="40"/>
      <c r="E56" s="418" t="s">
        <v>387</v>
      </c>
      <c r="F56" s="418"/>
      <c r="G56" s="418"/>
      <c r="H56" s="418"/>
      <c r="I56" s="418"/>
      <c r="J56" s="418"/>
      <c r="K56" s="418"/>
      <c r="L56" s="418"/>
      <c r="M56" s="418"/>
      <c r="N56" s="418"/>
      <c r="O56" s="418"/>
      <c r="P56" s="418"/>
      <c r="U56" s="1"/>
    </row>
    <row r="57" spans="1:21">
      <c r="A57" s="297" t="s">
        <v>47</v>
      </c>
      <c r="B57" s="40"/>
      <c r="C57" s="40"/>
      <c r="D57" s="40"/>
      <c r="E57" s="418"/>
      <c r="F57" s="418"/>
      <c r="G57" s="418"/>
      <c r="H57" s="418"/>
      <c r="I57" s="418"/>
      <c r="J57" s="418"/>
      <c r="K57" s="418"/>
      <c r="L57" s="418"/>
      <c r="M57" s="418"/>
      <c r="N57" s="418"/>
      <c r="O57" s="418"/>
      <c r="P57" s="418"/>
      <c r="U57" s="1"/>
    </row>
    <row r="58" spans="1:21">
      <c r="A58" s="297" t="s">
        <v>48</v>
      </c>
      <c r="B58" s="40"/>
      <c r="C58" s="40"/>
      <c r="D58" s="40"/>
      <c r="E58" s="418" t="s">
        <v>389</v>
      </c>
      <c r="F58" s="418"/>
      <c r="G58" s="418"/>
      <c r="H58" s="418"/>
      <c r="I58" s="418"/>
      <c r="J58" s="418"/>
      <c r="K58" s="418"/>
      <c r="L58" s="418"/>
      <c r="M58" s="418"/>
      <c r="N58" s="418"/>
      <c r="O58" s="418"/>
      <c r="P58" s="418"/>
      <c r="U58" s="1"/>
    </row>
    <row r="59" spans="1:21">
      <c r="A59" s="297" t="s">
        <v>49</v>
      </c>
      <c r="B59" s="40"/>
      <c r="C59" s="40"/>
      <c r="D59" s="40"/>
      <c r="E59" s="418"/>
      <c r="F59" s="418"/>
      <c r="G59" s="418"/>
      <c r="H59" s="418"/>
      <c r="I59" s="418"/>
      <c r="J59" s="418"/>
      <c r="K59" s="418"/>
      <c r="L59" s="418"/>
      <c r="M59" s="418"/>
      <c r="N59" s="418"/>
      <c r="O59" s="418"/>
      <c r="P59" s="418"/>
      <c r="U59" s="1"/>
    </row>
    <row r="60" spans="1:21">
      <c r="B60" s="40"/>
      <c r="C60" s="40"/>
      <c r="D60" s="40"/>
      <c r="E60" s="418" t="s">
        <v>437</v>
      </c>
      <c r="F60" s="418"/>
      <c r="G60" s="418"/>
      <c r="H60" s="418"/>
      <c r="I60" s="418"/>
      <c r="J60" s="418"/>
      <c r="K60" s="418"/>
      <c r="L60" s="418"/>
      <c r="M60" s="418"/>
      <c r="N60" s="418"/>
      <c r="O60" s="418"/>
      <c r="P60" s="418"/>
      <c r="U60" s="1"/>
    </row>
    <row r="61" spans="1:21">
      <c r="B61" s="40"/>
      <c r="C61" s="40"/>
      <c r="D61" s="40"/>
      <c r="E61" s="418"/>
      <c r="F61" s="418"/>
      <c r="G61" s="418"/>
      <c r="H61" s="418"/>
      <c r="I61" s="418"/>
      <c r="J61" s="418"/>
      <c r="K61" s="418"/>
      <c r="L61" s="418"/>
      <c r="M61" s="418"/>
      <c r="N61" s="418"/>
      <c r="O61" s="418"/>
      <c r="P61" s="418"/>
      <c r="U61" s="1"/>
    </row>
    <row r="62" spans="1:21" ht="15" customHeight="1">
      <c r="B62" s="40"/>
      <c r="C62" s="40"/>
      <c r="D62" s="40"/>
      <c r="E62" s="418" t="s">
        <v>438</v>
      </c>
      <c r="F62" s="418"/>
      <c r="G62" s="418"/>
      <c r="H62" s="418"/>
      <c r="I62" s="418"/>
      <c r="J62" s="418"/>
      <c r="K62" s="418"/>
      <c r="L62" s="418"/>
      <c r="M62" s="418"/>
      <c r="N62" s="418"/>
      <c r="O62" s="418"/>
      <c r="P62" s="418"/>
      <c r="U62" s="1"/>
    </row>
    <row r="63" spans="1:21">
      <c r="B63" s="40"/>
      <c r="C63" s="40"/>
      <c r="D63" s="40"/>
      <c r="E63" s="418"/>
      <c r="F63" s="418"/>
      <c r="G63" s="418"/>
      <c r="H63" s="418"/>
      <c r="I63" s="418"/>
      <c r="J63" s="418"/>
      <c r="K63" s="418"/>
      <c r="L63" s="418"/>
      <c r="M63" s="418"/>
      <c r="N63" s="418"/>
      <c r="O63" s="418"/>
      <c r="P63" s="418"/>
      <c r="U63" s="1"/>
    </row>
    <row r="64" spans="1:21">
      <c r="B64" s="40"/>
      <c r="C64" s="40"/>
      <c r="D64" s="40"/>
      <c r="E64" s="418" t="s">
        <v>457</v>
      </c>
      <c r="F64" s="418"/>
      <c r="G64" s="418"/>
      <c r="H64" s="418"/>
      <c r="I64" s="418"/>
      <c r="J64" s="418"/>
      <c r="K64" s="418"/>
      <c r="L64" s="418"/>
      <c r="M64" s="418"/>
      <c r="N64" s="418"/>
      <c r="O64" s="418"/>
      <c r="P64" s="418"/>
      <c r="U64" s="1"/>
    </row>
    <row r="65" spans="2:21">
      <c r="B65" s="40"/>
      <c r="C65" s="40"/>
      <c r="D65" s="40"/>
      <c r="E65" s="418"/>
      <c r="F65" s="418"/>
      <c r="G65" s="418"/>
      <c r="H65" s="418"/>
      <c r="I65" s="418"/>
      <c r="J65" s="418"/>
      <c r="K65" s="418"/>
      <c r="L65" s="418"/>
      <c r="M65" s="418"/>
      <c r="N65" s="418"/>
      <c r="O65" s="418"/>
      <c r="P65" s="418"/>
      <c r="U65" s="1"/>
    </row>
    <row r="66" spans="2:21">
      <c r="B66" s="40"/>
      <c r="C66" s="40"/>
      <c r="D66" s="40"/>
      <c r="E66" s="418" t="s">
        <v>456</v>
      </c>
      <c r="F66" s="418"/>
      <c r="G66" s="418"/>
      <c r="H66" s="418"/>
      <c r="I66" s="418"/>
      <c r="J66" s="418"/>
      <c r="K66" s="418"/>
      <c r="L66" s="418"/>
      <c r="M66" s="418"/>
      <c r="N66" s="418"/>
      <c r="O66" s="418"/>
      <c r="P66" s="418"/>
      <c r="U66" s="1"/>
    </row>
    <row r="67" spans="2:21">
      <c r="B67" s="40"/>
      <c r="C67" s="40"/>
      <c r="D67" s="40"/>
      <c r="E67" s="418"/>
      <c r="F67" s="418"/>
      <c r="G67" s="418"/>
      <c r="H67" s="418"/>
      <c r="I67" s="418"/>
      <c r="J67" s="418"/>
      <c r="K67" s="418"/>
      <c r="L67" s="418"/>
      <c r="M67" s="418"/>
      <c r="N67" s="418"/>
      <c r="O67" s="418"/>
      <c r="P67" s="418"/>
      <c r="U67" s="1"/>
    </row>
    <row r="68" spans="2:21">
      <c r="B68" s="40"/>
      <c r="C68" s="40"/>
      <c r="D68" s="40"/>
      <c r="E68" s="418" t="s">
        <v>472</v>
      </c>
      <c r="F68" s="418"/>
      <c r="G68" s="418"/>
      <c r="H68" s="418"/>
      <c r="I68" s="418"/>
      <c r="J68" s="418"/>
      <c r="K68" s="418"/>
      <c r="L68" s="418"/>
      <c r="M68" s="418"/>
      <c r="N68" s="418"/>
      <c r="O68" s="418"/>
      <c r="P68" s="418"/>
      <c r="U68" s="1"/>
    </row>
    <row r="69" spans="2:21">
      <c r="B69" s="40"/>
      <c r="C69" s="40"/>
      <c r="D69" s="40"/>
      <c r="E69" s="418"/>
      <c r="F69" s="418"/>
      <c r="G69" s="418"/>
      <c r="H69" s="418"/>
      <c r="I69" s="418"/>
      <c r="J69" s="418"/>
      <c r="K69" s="418"/>
      <c r="L69" s="418"/>
      <c r="M69" s="418"/>
      <c r="N69" s="418"/>
      <c r="O69" s="418"/>
      <c r="P69" s="418"/>
      <c r="U69" s="1"/>
    </row>
    <row r="70" spans="2:21">
      <c r="B70" s="40"/>
      <c r="C70" s="40"/>
      <c r="D70" s="40"/>
      <c r="E70" s="418" t="s">
        <v>486</v>
      </c>
      <c r="F70" s="418"/>
      <c r="G70" s="418"/>
      <c r="H70" s="418"/>
      <c r="I70" s="418"/>
      <c r="J70" s="418"/>
      <c r="K70" s="418"/>
      <c r="L70" s="418"/>
      <c r="M70" s="418"/>
      <c r="N70" s="418"/>
      <c r="O70" s="418"/>
      <c r="P70" s="418"/>
      <c r="U70" s="1"/>
    </row>
    <row r="71" spans="2:21">
      <c r="B71" s="40"/>
      <c r="C71" s="40"/>
      <c r="D71" s="40"/>
      <c r="E71" s="418"/>
      <c r="F71" s="418"/>
      <c r="G71" s="418"/>
      <c r="H71" s="418"/>
      <c r="I71" s="418"/>
      <c r="J71" s="418"/>
      <c r="K71" s="418"/>
      <c r="L71" s="418"/>
      <c r="M71" s="418"/>
      <c r="N71" s="418"/>
      <c r="O71" s="418"/>
      <c r="P71" s="418"/>
      <c r="U71" s="1"/>
    </row>
    <row r="72" spans="2:21">
      <c r="B72" s="40"/>
      <c r="C72" s="40"/>
      <c r="D72" s="40"/>
      <c r="E72" s="418" t="s">
        <v>473</v>
      </c>
      <c r="F72" s="418"/>
      <c r="G72" s="418"/>
      <c r="H72" s="418"/>
      <c r="I72" s="418"/>
      <c r="J72" s="418"/>
      <c r="K72" s="418"/>
      <c r="L72" s="418"/>
      <c r="M72" s="418"/>
      <c r="N72" s="418"/>
      <c r="O72" s="418"/>
      <c r="P72" s="418"/>
      <c r="U72" s="1"/>
    </row>
    <row r="73" spans="2:21">
      <c r="B73" s="40"/>
      <c r="C73" s="40"/>
      <c r="D73" s="40"/>
      <c r="E73" s="418"/>
      <c r="F73" s="418"/>
      <c r="G73" s="418"/>
      <c r="H73" s="418"/>
      <c r="I73" s="418"/>
      <c r="J73" s="418"/>
      <c r="K73" s="418"/>
      <c r="L73" s="418"/>
      <c r="M73" s="418"/>
      <c r="N73" s="418"/>
      <c r="O73" s="418"/>
      <c r="P73" s="418"/>
      <c r="U73" s="1"/>
    </row>
    <row r="74" spans="2:21">
      <c r="B74" s="40"/>
      <c r="C74" s="40"/>
      <c r="D74" s="40"/>
      <c r="E74" s="414" t="s">
        <v>487</v>
      </c>
      <c r="F74" s="414"/>
      <c r="G74" s="414"/>
      <c r="H74" s="414"/>
      <c r="I74" s="414"/>
      <c r="J74" s="414"/>
      <c r="K74" s="414"/>
      <c r="L74" s="375"/>
      <c r="M74" s="375"/>
      <c r="N74" s="375"/>
      <c r="O74" s="375"/>
      <c r="P74" s="375"/>
      <c r="U74" s="1"/>
    </row>
    <row r="75" spans="2:21">
      <c r="B75" s="40"/>
      <c r="C75" s="40"/>
      <c r="D75" s="40"/>
      <c r="E75" s="375"/>
      <c r="F75" s="375"/>
      <c r="G75" s="375"/>
      <c r="H75" s="375"/>
      <c r="I75" s="375"/>
      <c r="J75" s="375"/>
      <c r="K75" s="375"/>
      <c r="L75" s="375"/>
      <c r="M75" s="375"/>
      <c r="N75" s="375"/>
      <c r="O75" s="375"/>
      <c r="P75" s="375"/>
      <c r="U75" s="1"/>
    </row>
    <row r="76" spans="2:21">
      <c r="B76" s="40"/>
      <c r="C76" s="40"/>
      <c r="D76" s="40"/>
      <c r="E76" s="418" t="s">
        <v>501</v>
      </c>
      <c r="F76" s="418"/>
      <c r="G76" s="418"/>
      <c r="H76" s="418"/>
      <c r="I76" s="418"/>
      <c r="J76" s="418"/>
      <c r="K76" s="418"/>
      <c r="L76" s="418"/>
      <c r="M76" s="418"/>
      <c r="N76" s="418"/>
      <c r="O76" s="418"/>
      <c r="P76" s="418"/>
      <c r="U76" s="1"/>
    </row>
    <row r="77" spans="2:21">
      <c r="B77" s="40"/>
      <c r="C77" s="40"/>
      <c r="D77" s="40"/>
      <c r="E77" s="418"/>
      <c r="F77" s="418"/>
      <c r="G77" s="418"/>
      <c r="H77" s="418"/>
      <c r="I77" s="418"/>
      <c r="J77" s="418"/>
      <c r="K77" s="418"/>
      <c r="L77" s="418"/>
      <c r="M77" s="418"/>
      <c r="N77" s="418"/>
      <c r="O77" s="418"/>
      <c r="P77" s="418"/>
      <c r="U77" s="1"/>
    </row>
    <row r="78" spans="2:21" ht="15" customHeight="1">
      <c r="B78" s="40"/>
      <c r="C78" s="40"/>
      <c r="D78" s="40"/>
      <c r="E78" s="418" t="s">
        <v>508</v>
      </c>
      <c r="F78" s="418"/>
      <c r="G78" s="418"/>
      <c r="H78" s="418"/>
      <c r="I78" s="418"/>
      <c r="J78" s="418"/>
      <c r="K78" s="418"/>
      <c r="L78" s="418"/>
      <c r="M78" s="418"/>
      <c r="N78" s="418"/>
      <c r="O78" s="418"/>
      <c r="P78" s="418"/>
      <c r="U78" s="1"/>
    </row>
    <row r="79" spans="2:21">
      <c r="B79" s="40"/>
      <c r="C79" s="40"/>
      <c r="D79" s="40"/>
      <c r="E79" s="418"/>
      <c r="F79" s="418"/>
      <c r="G79" s="418"/>
      <c r="H79" s="418"/>
      <c r="I79" s="418"/>
      <c r="J79" s="418"/>
      <c r="K79" s="418"/>
      <c r="L79" s="418"/>
      <c r="M79" s="418"/>
      <c r="N79" s="418"/>
      <c r="O79" s="418"/>
      <c r="P79" s="418"/>
      <c r="U79" s="1"/>
    </row>
    <row r="80" spans="2:21" ht="15" customHeight="1">
      <c r="B80" s="40"/>
      <c r="C80" s="40"/>
      <c r="D80" s="40"/>
      <c r="E80" s="418" t="s">
        <v>507</v>
      </c>
      <c r="F80" s="418"/>
      <c r="G80" s="418"/>
      <c r="H80" s="418"/>
      <c r="I80" s="418"/>
      <c r="J80" s="418"/>
      <c r="K80" s="418"/>
      <c r="L80" s="418"/>
      <c r="M80" s="418"/>
      <c r="N80" s="418"/>
      <c r="O80" s="418"/>
      <c r="P80" s="418"/>
      <c r="U80" s="1"/>
    </row>
    <row r="81" spans="2:23" ht="15" customHeight="1">
      <c r="B81" s="40"/>
      <c r="C81" s="40"/>
      <c r="D81" s="40"/>
      <c r="E81" s="418"/>
      <c r="F81" s="418"/>
      <c r="G81" s="418"/>
      <c r="H81" s="418"/>
      <c r="I81" s="418"/>
      <c r="J81" s="418"/>
      <c r="K81" s="418"/>
      <c r="L81" s="418"/>
      <c r="M81" s="418"/>
      <c r="N81" s="418"/>
      <c r="O81" s="418"/>
      <c r="P81" s="418"/>
      <c r="U81" s="1"/>
    </row>
    <row r="82" spans="2:23" ht="15" customHeight="1">
      <c r="B82" s="40"/>
      <c r="C82" s="40"/>
      <c r="D82" s="40"/>
      <c r="E82" s="418" t="s">
        <v>545</v>
      </c>
      <c r="F82" s="418"/>
      <c r="G82" s="418"/>
      <c r="H82" s="418"/>
      <c r="I82" s="418"/>
      <c r="J82" s="418"/>
      <c r="K82" s="418"/>
      <c r="L82" s="418"/>
      <c r="M82" s="418"/>
      <c r="N82" s="418"/>
      <c r="O82" s="418"/>
      <c r="P82" s="418"/>
      <c r="U82" s="1"/>
    </row>
    <row r="83" spans="2:23" ht="15" customHeight="1">
      <c r="B83" s="40"/>
      <c r="C83" s="40"/>
      <c r="D83" s="40"/>
      <c r="E83" s="418"/>
      <c r="F83" s="418"/>
      <c r="G83" s="418"/>
      <c r="H83" s="418"/>
      <c r="I83" s="418"/>
      <c r="J83" s="418"/>
      <c r="K83" s="418"/>
      <c r="L83" s="418"/>
      <c r="M83" s="418"/>
      <c r="N83" s="418"/>
      <c r="O83" s="418"/>
      <c r="P83" s="418"/>
      <c r="U83" s="1"/>
    </row>
    <row r="84" spans="2:23" ht="15" customHeight="1">
      <c r="B84" s="40"/>
      <c r="C84" s="40"/>
      <c r="D84" s="40"/>
      <c r="E84" s="418" t="s">
        <v>546</v>
      </c>
      <c r="F84" s="418"/>
      <c r="G84" s="418"/>
      <c r="H84" s="418"/>
      <c r="I84" s="418"/>
      <c r="J84" s="418"/>
      <c r="K84" s="418"/>
      <c r="L84" s="418"/>
      <c r="M84" s="418"/>
      <c r="N84" s="418"/>
      <c r="O84" s="418"/>
      <c r="P84" s="418"/>
      <c r="U84" s="1"/>
    </row>
    <row r="85" spans="2:23" ht="15" customHeight="1">
      <c r="B85" s="40"/>
      <c r="C85" s="40"/>
      <c r="D85" s="40"/>
      <c r="E85" s="418"/>
      <c r="F85" s="418"/>
      <c r="G85" s="418"/>
      <c r="H85" s="418"/>
      <c r="I85" s="418"/>
      <c r="J85" s="418"/>
      <c r="K85" s="418"/>
      <c r="L85" s="418"/>
      <c r="M85" s="418"/>
      <c r="N85" s="418"/>
      <c r="O85" s="418"/>
      <c r="P85" s="418"/>
      <c r="U85" s="1"/>
    </row>
    <row r="86" spans="2:23" ht="15" customHeight="1">
      <c r="B86" s="40"/>
      <c r="C86" s="40"/>
      <c r="D86" s="40"/>
      <c r="E86" s="418" t="s">
        <v>547</v>
      </c>
      <c r="F86" s="418"/>
      <c r="G86" s="418"/>
      <c r="H86" s="418"/>
      <c r="I86" s="418"/>
      <c r="J86" s="418"/>
      <c r="K86" s="418"/>
      <c r="L86" s="418"/>
      <c r="M86" s="418"/>
      <c r="N86" s="418"/>
      <c r="O86" s="418"/>
      <c r="P86" s="418"/>
      <c r="U86" s="1"/>
    </row>
    <row r="87" spans="2:23">
      <c r="B87" s="40"/>
      <c r="C87" s="40"/>
      <c r="D87" s="40"/>
      <c r="E87" s="418"/>
      <c r="F87" s="418"/>
      <c r="G87" s="418"/>
      <c r="H87" s="418"/>
      <c r="I87" s="418"/>
      <c r="J87" s="418"/>
      <c r="K87" s="418"/>
      <c r="L87" s="418"/>
      <c r="M87" s="418"/>
      <c r="N87" s="418"/>
      <c r="O87" s="418"/>
      <c r="P87" s="418"/>
      <c r="U87" s="1"/>
    </row>
    <row r="88" spans="2:23">
      <c r="B88" s="40"/>
      <c r="C88" s="40"/>
      <c r="D88" s="40"/>
      <c r="E88" s="375"/>
      <c r="F88" s="375"/>
      <c r="G88" s="375"/>
      <c r="H88" s="375"/>
      <c r="I88" s="375"/>
      <c r="J88" s="375"/>
      <c r="K88" s="375"/>
      <c r="L88" s="375"/>
      <c r="M88" s="375"/>
      <c r="N88" s="375"/>
      <c r="O88" s="375"/>
      <c r="P88" s="375"/>
      <c r="U88" s="1"/>
    </row>
    <row r="89" spans="2:23">
      <c r="B89" s="40"/>
      <c r="C89" s="40"/>
      <c r="D89" s="40"/>
      <c r="E89" s="288"/>
      <c r="F89" s="243"/>
      <c r="G89" s="243"/>
      <c r="H89" s="243"/>
      <c r="I89" s="243"/>
      <c r="J89" s="243"/>
      <c r="K89" s="40"/>
      <c r="L89" s="40"/>
      <c r="M89" s="40"/>
      <c r="N89" s="40"/>
      <c r="O89" s="40"/>
      <c r="P89" s="40"/>
      <c r="U89" s="1"/>
    </row>
    <row r="90" spans="2:23">
      <c r="B90" s="40"/>
      <c r="C90" s="64"/>
      <c r="D90" s="64"/>
      <c r="E90" s="413" t="s">
        <v>43</v>
      </c>
      <c r="F90" s="413"/>
      <c r="G90" s="156"/>
      <c r="H90" s="156"/>
      <c r="I90" s="156"/>
      <c r="J90" s="156"/>
      <c r="K90" s="64"/>
      <c r="L90" s="64"/>
      <c r="M90" s="64"/>
      <c r="N90" s="64"/>
      <c r="O90" s="64"/>
      <c r="P90" s="64"/>
      <c r="Q90" s="78"/>
      <c r="S90" s="78"/>
      <c r="T90" s="149" t="s">
        <v>90</v>
      </c>
      <c r="U90" s="78"/>
      <c r="V90" s="78"/>
      <c r="W90" s="78"/>
    </row>
    <row r="91" spans="2:23">
      <c r="B91" s="65"/>
      <c r="C91" s="44"/>
      <c r="D91" s="44"/>
      <c r="E91" s="45"/>
      <c r="F91" s="40"/>
      <c r="G91" s="44"/>
      <c r="H91" s="44"/>
      <c r="I91" s="44"/>
      <c r="J91" s="86"/>
      <c r="K91" s="44"/>
      <c r="L91" s="44"/>
      <c r="M91" s="44"/>
      <c r="N91" s="44"/>
      <c r="O91" s="44"/>
      <c r="P91" s="44"/>
      <c r="Q91" s="70"/>
      <c r="R91" s="150"/>
      <c r="S91" s="397"/>
      <c r="T91" s="398"/>
      <c r="U91" s="398"/>
      <c r="V91" s="398"/>
      <c r="W91" s="399"/>
    </row>
    <row r="92" spans="2:23">
      <c r="B92" s="65"/>
      <c r="C92" s="44"/>
      <c r="D92" s="44"/>
      <c r="E92" s="56" t="s">
        <v>52</v>
      </c>
      <c r="F92" s="45"/>
      <c r="G92" s="45"/>
      <c r="H92" s="45"/>
      <c r="I92" s="45"/>
      <c r="J92" s="45"/>
      <c r="K92" s="40"/>
      <c r="L92" s="40"/>
      <c r="M92" s="40"/>
      <c r="N92" s="40"/>
      <c r="O92" s="40"/>
      <c r="P92" s="40"/>
      <c r="Q92" s="68"/>
      <c r="R92" s="150"/>
      <c r="S92" s="397"/>
      <c r="T92" s="398"/>
      <c r="U92" s="398"/>
      <c r="V92" s="398"/>
      <c r="W92" s="399"/>
    </row>
    <row r="93" spans="2:23">
      <c r="B93" s="65"/>
      <c r="C93" s="44"/>
      <c r="D93" s="44"/>
      <c r="E93" s="198"/>
      <c r="F93" s="199"/>
      <c r="G93" s="199"/>
      <c r="H93" s="199"/>
      <c r="I93" s="199"/>
      <c r="J93" s="199"/>
      <c r="K93" s="40"/>
      <c r="L93" s="40"/>
      <c r="M93" s="40"/>
      <c r="N93" s="40"/>
      <c r="O93" s="40"/>
      <c r="P93" s="40"/>
      <c r="Q93" s="68"/>
      <c r="R93" s="150"/>
      <c r="S93" s="397"/>
      <c r="T93" s="398"/>
      <c r="U93" s="398"/>
      <c r="V93" s="398"/>
      <c r="W93" s="399"/>
    </row>
    <row r="94" spans="2:23">
      <c r="B94" s="65"/>
      <c r="C94" s="44"/>
      <c r="D94" s="44"/>
      <c r="E94" s="198"/>
      <c r="F94" s="199"/>
      <c r="G94" s="199"/>
      <c r="H94" s="199"/>
      <c r="I94" s="200" t="s">
        <v>87</v>
      </c>
      <c r="J94" s="199"/>
      <c r="K94" s="40"/>
      <c r="L94" s="407" t="s">
        <v>88</v>
      </c>
      <c r="M94" s="407"/>
      <c r="N94" s="407"/>
      <c r="O94" s="407"/>
      <c r="P94" s="40"/>
      <c r="Q94" s="68"/>
      <c r="R94" s="150"/>
      <c r="S94" s="397"/>
      <c r="T94" s="398"/>
      <c r="U94" s="398"/>
      <c r="V94" s="398"/>
      <c r="W94" s="399"/>
    </row>
    <row r="95" spans="2:23" ht="15.75" thickBot="1">
      <c r="B95" s="65"/>
      <c r="C95" s="44"/>
      <c r="D95" s="44"/>
      <c r="E95" s="198"/>
      <c r="F95" s="199"/>
      <c r="G95" s="199"/>
      <c r="H95" s="199"/>
      <c r="I95" s="199"/>
      <c r="J95" s="199"/>
      <c r="K95" s="40"/>
      <c r="L95" s="40"/>
      <c r="M95" s="40"/>
      <c r="N95" s="40"/>
      <c r="O95" s="278"/>
      <c r="P95" s="278"/>
      <c r="Q95" s="68"/>
      <c r="R95" s="150"/>
      <c r="S95" s="397"/>
      <c r="T95" s="398"/>
      <c r="U95" s="398"/>
      <c r="V95" s="398"/>
      <c r="W95" s="399"/>
    </row>
    <row r="96" spans="2:23" ht="15.75" customHeight="1" thickBot="1">
      <c r="B96" s="65"/>
      <c r="C96" s="44"/>
      <c r="D96" s="44"/>
      <c r="E96" s="400" t="s">
        <v>110</v>
      </c>
      <c r="F96" s="400"/>
      <c r="G96" s="400"/>
      <c r="H96" s="45"/>
      <c r="I96" s="114">
        <v>0</v>
      </c>
      <c r="J96" s="202" t="str">
        <f>IF('Mon Entreprise'!K8&lt;Annexes!O17,"*","")</f>
        <v>*</v>
      </c>
      <c r="K96" s="44"/>
      <c r="L96" s="40"/>
      <c r="M96" s="114">
        <v>0</v>
      </c>
      <c r="N96" s="40"/>
      <c r="O96" s="278"/>
      <c r="P96" s="278"/>
      <c r="Q96" s="68"/>
      <c r="R96" s="150"/>
      <c r="S96" s="397"/>
      <c r="T96" s="398"/>
      <c r="U96" s="398"/>
      <c r="V96" s="398"/>
      <c r="W96" s="399"/>
    </row>
    <row r="97" spans="2:23">
      <c r="B97" s="65"/>
      <c r="C97" s="44"/>
      <c r="D97" s="44"/>
      <c r="E97" s="98" t="str">
        <f>IF(K8&lt;Annexes!O14,"","En cas de création d'activité après le 01 Janvier 2019, veuillez également vous reporter en bas du tableau...")</f>
        <v/>
      </c>
      <c r="F97" s="45"/>
      <c r="G97" s="45"/>
      <c r="H97" s="45"/>
      <c r="I97" s="45"/>
      <c r="J97" s="203"/>
      <c r="K97" s="44"/>
      <c r="L97" s="40"/>
      <c r="M97" s="99"/>
      <c r="N97" s="40"/>
      <c r="O97" s="278"/>
      <c r="P97" s="278"/>
      <c r="Q97" s="68"/>
      <c r="R97" s="151"/>
      <c r="S97" s="397"/>
      <c r="T97" s="398"/>
      <c r="U97" s="398"/>
      <c r="V97" s="398"/>
      <c r="W97" s="399"/>
    </row>
    <row r="98" spans="2:23">
      <c r="B98" s="65"/>
      <c r="C98" s="44"/>
      <c r="D98" s="44"/>
      <c r="E98" s="40"/>
      <c r="F98" s="425" t="str">
        <f>IF(K8&lt;Annexes!O28,"CA moyen sur un mois :","")</f>
        <v>CA moyen sur un mois :</v>
      </c>
      <c r="G98" s="425"/>
      <c r="H98" s="425"/>
      <c r="I98" s="50">
        <f>IF(AND(K8&gt;Annexes!O14,K8&lt;Annexes!O28),I96*360/(Annexes!O28-K8+1)/12,I96/12)</f>
        <v>0</v>
      </c>
      <c r="J98" s="204"/>
      <c r="K98" s="44"/>
      <c r="L98" s="40"/>
      <c r="M98" s="54">
        <f>IF(AND(K8&gt;Annexes!O14,K8&lt;Annexes!O20),M96*360/(Annexes!O28-K8+1)/12,M96/12)</f>
        <v>0</v>
      </c>
      <c r="N98" s="40"/>
      <c r="O98" s="278"/>
      <c r="P98" s="278"/>
      <c r="Q98" s="68"/>
      <c r="R98" s="150"/>
      <c r="S98" s="397"/>
      <c r="T98" s="398"/>
      <c r="U98" s="398"/>
      <c r="V98" s="398"/>
      <c r="W98" s="399"/>
    </row>
    <row r="99" spans="2:23">
      <c r="B99" s="65"/>
      <c r="C99" s="44"/>
      <c r="D99" s="44"/>
      <c r="E99" s="64"/>
      <c r="F99" s="64"/>
      <c r="G99" s="64"/>
      <c r="H99" s="64"/>
      <c r="I99" s="64"/>
      <c r="J99" s="64"/>
      <c r="K99" s="64"/>
      <c r="L99" s="64"/>
      <c r="M99" s="64"/>
      <c r="N99" s="64"/>
      <c r="O99" s="40"/>
      <c r="P99" s="40"/>
      <c r="Q99" s="68"/>
      <c r="R99" s="150"/>
      <c r="S99" s="397"/>
      <c r="T99" s="398"/>
      <c r="U99" s="398"/>
      <c r="V99" s="398"/>
      <c r="W99" s="399"/>
    </row>
    <row r="100" spans="2:23" ht="15.75" customHeight="1">
      <c r="B100" s="65"/>
      <c r="C100" s="44"/>
      <c r="D100" s="44"/>
      <c r="E100" s="44"/>
      <c r="F100" s="44"/>
      <c r="G100" s="44"/>
      <c r="H100" s="44"/>
      <c r="I100" s="44"/>
      <c r="J100" s="44"/>
      <c r="K100" s="44"/>
      <c r="L100" s="44"/>
      <c r="M100" s="44"/>
      <c r="N100" s="44"/>
      <c r="O100" s="40"/>
      <c r="P100" s="40"/>
      <c r="Q100" s="68"/>
      <c r="R100" s="150"/>
      <c r="S100" s="397"/>
      <c r="T100" s="398"/>
      <c r="U100" s="398"/>
      <c r="V100" s="398"/>
      <c r="W100" s="399"/>
    </row>
    <row r="101" spans="2:23" ht="15.75" customHeight="1">
      <c r="B101" s="65"/>
      <c r="C101" s="44"/>
      <c r="D101" s="44"/>
      <c r="E101" s="44"/>
      <c r="F101" s="44"/>
      <c r="G101" s="44"/>
      <c r="H101" s="44"/>
      <c r="I101" s="44"/>
      <c r="J101" s="44"/>
      <c r="K101" s="44"/>
      <c r="L101" s="44"/>
      <c r="M101" s="44"/>
      <c r="N101" s="44"/>
      <c r="O101" s="40"/>
      <c r="P101" s="40"/>
      <c r="Q101" s="68"/>
      <c r="R101" s="150"/>
      <c r="S101" s="397"/>
      <c r="T101" s="398"/>
      <c r="U101" s="398"/>
      <c r="V101" s="398"/>
      <c r="W101" s="399"/>
    </row>
    <row r="102" spans="2:23">
      <c r="B102" s="65"/>
      <c r="C102" s="44"/>
      <c r="D102" s="44"/>
      <c r="E102" s="417" t="s">
        <v>44</v>
      </c>
      <c r="F102" s="417"/>
      <c r="G102" s="417"/>
      <c r="H102" s="417"/>
      <c r="I102" s="417"/>
      <c r="J102" s="417"/>
      <c r="K102" s="433" t="s">
        <v>116</v>
      </c>
      <c r="L102" s="434"/>
      <c r="M102" s="434"/>
      <c r="N102" s="434"/>
      <c r="O102" s="434"/>
      <c r="P102" s="434"/>
      <c r="Q102" s="68"/>
      <c r="R102" s="150"/>
      <c r="S102" s="397"/>
      <c r="T102" s="398"/>
      <c r="U102" s="398"/>
      <c r="V102" s="398"/>
      <c r="W102" s="399"/>
    </row>
    <row r="103" spans="2:23">
      <c r="B103" s="65"/>
      <c r="C103" s="44"/>
      <c r="D103" s="44"/>
      <c r="E103" s="209"/>
      <c r="F103" s="209"/>
      <c r="G103" s="209"/>
      <c r="H103" s="209"/>
      <c r="I103" s="209"/>
      <c r="J103" s="219"/>
      <c r="K103" s="433"/>
      <c r="L103" s="434"/>
      <c r="M103" s="434"/>
      <c r="N103" s="434"/>
      <c r="O103" s="434"/>
      <c r="P103" s="434"/>
      <c r="Q103" s="68"/>
      <c r="R103" s="150"/>
      <c r="S103" s="397"/>
      <c r="T103" s="398"/>
      <c r="U103" s="398"/>
      <c r="V103" s="398"/>
      <c r="W103" s="399"/>
    </row>
    <row r="104" spans="2:23">
      <c r="B104" s="65"/>
      <c r="C104" s="44"/>
      <c r="D104" s="44"/>
      <c r="E104" s="40"/>
      <c r="F104" s="49"/>
      <c r="G104" s="49"/>
      <c r="H104" s="407" t="s">
        <v>87</v>
      </c>
      <c r="I104" s="407"/>
      <c r="J104" s="407"/>
      <c r="K104" s="184"/>
      <c r="L104" s="407" t="s">
        <v>88</v>
      </c>
      <c r="M104" s="407"/>
      <c r="N104" s="407"/>
      <c r="O104" s="407"/>
      <c r="P104" s="49"/>
      <c r="Q104" s="68"/>
      <c r="R104" s="150"/>
      <c r="S104" s="397"/>
      <c r="T104" s="398"/>
      <c r="U104" s="398"/>
      <c r="V104" s="398"/>
      <c r="W104" s="399"/>
    </row>
    <row r="105" spans="2:23" ht="15.75" thickBot="1">
      <c r="B105" s="65"/>
      <c r="C105" s="44"/>
      <c r="D105" s="44"/>
      <c r="E105" s="40"/>
      <c r="F105" s="40"/>
      <c r="G105" s="40"/>
      <c r="H105" s="40"/>
      <c r="I105" s="40"/>
      <c r="J105" s="65"/>
      <c r="K105" s="44"/>
      <c r="L105" s="40"/>
      <c r="M105" s="40"/>
      <c r="N105" s="40"/>
      <c r="O105" s="40"/>
      <c r="P105" s="40"/>
      <c r="Q105" s="68"/>
      <c r="R105" s="150"/>
      <c r="S105" s="397"/>
      <c r="T105" s="398"/>
      <c r="U105" s="398"/>
      <c r="V105" s="398"/>
      <c r="W105" s="399"/>
    </row>
    <row r="106" spans="2:23" ht="15" customHeight="1" thickBot="1">
      <c r="B106" s="65"/>
      <c r="C106" s="44"/>
      <c r="D106" s="44"/>
      <c r="E106" s="158" t="str">
        <f>IF(Annexes!M9=FALSE,"- Fermeture en Septembre :",IF(Annexes!M4=1,"- Fermeture en Septembre :","- Septembre sur le nb de jours :"))</f>
        <v>- Fermeture en Septembre :</v>
      </c>
      <c r="F106" s="158"/>
      <c r="G106" s="158"/>
      <c r="H106" s="40"/>
      <c r="I106" s="114">
        <v>0</v>
      </c>
      <c r="J106" s="65"/>
      <c r="K106" s="44"/>
      <c r="L106" s="40"/>
      <c r="M106" s="114">
        <v>0</v>
      </c>
      <c r="N106" s="90"/>
      <c r="O106" s="40"/>
      <c r="P106" s="136"/>
      <c r="Q106" s="68"/>
      <c r="R106" s="150"/>
      <c r="S106" s="397"/>
      <c r="T106" s="398"/>
      <c r="U106" s="398"/>
      <c r="V106" s="398"/>
      <c r="W106" s="399"/>
    </row>
    <row r="107" spans="2:23">
      <c r="B107" s="65"/>
      <c r="C107" s="44"/>
      <c r="D107" s="44"/>
      <c r="E107" s="411" t="str">
        <f>IF(Annexes!M9=FALSE,"Non-Concerné",IF(Annexes!M4=1,"Non-Concerné","Seulement le CA sur le nombre de jours de fermeture administrative"))</f>
        <v>Non-Concerné</v>
      </c>
      <c r="F107" s="411"/>
      <c r="G107" s="411"/>
      <c r="H107" s="411"/>
      <c r="I107" s="411"/>
      <c r="J107" s="412"/>
      <c r="K107" s="44"/>
      <c r="L107" s="40"/>
      <c r="M107" s="51"/>
      <c r="N107" s="40"/>
      <c r="O107" s="40"/>
      <c r="P107" s="136"/>
      <c r="Q107" s="68"/>
      <c r="R107" s="150"/>
      <c r="S107" s="397"/>
      <c r="T107" s="398"/>
      <c r="U107" s="398"/>
      <c r="V107" s="398"/>
      <c r="W107" s="399"/>
    </row>
    <row r="108" spans="2:23" ht="15.75" customHeight="1" thickBot="1">
      <c r="B108" s="65"/>
      <c r="C108" s="44"/>
      <c r="D108" s="44"/>
      <c r="E108" s="52"/>
      <c r="F108" s="52"/>
      <c r="G108" s="52"/>
      <c r="H108" s="52"/>
      <c r="I108" s="52"/>
      <c r="J108" s="65"/>
      <c r="K108" s="44"/>
      <c r="L108" s="40"/>
      <c r="M108" s="51"/>
      <c r="N108" s="40"/>
      <c r="O108" s="40"/>
      <c r="P108" s="136"/>
      <c r="Q108" s="68"/>
      <c r="R108" s="150"/>
      <c r="S108" s="397"/>
      <c r="T108" s="398"/>
      <c r="U108" s="398"/>
      <c r="V108" s="398"/>
      <c r="W108" s="399"/>
    </row>
    <row r="109" spans="2:23" ht="15.75" thickBot="1">
      <c r="B109" s="65"/>
      <c r="C109" s="44"/>
      <c r="D109" s="44"/>
      <c r="E109" s="160" t="str">
        <f>IF(Annexes!M9=FALSE,"- Fermeture en Octobre :",IF(Annexes!M6=1,"- Fermeture en Octobre :","- Octobre sur le nb de jours :"))</f>
        <v>- Fermeture en Octobre :</v>
      </c>
      <c r="F109" s="159"/>
      <c r="G109" s="159"/>
      <c r="H109" s="52"/>
      <c r="I109" s="114">
        <v>0</v>
      </c>
      <c r="J109" s="65"/>
      <c r="K109" s="44"/>
      <c r="L109" s="40"/>
      <c r="M109" s="114">
        <v>0</v>
      </c>
      <c r="N109" s="90"/>
      <c r="O109" s="40"/>
      <c r="P109" s="136"/>
      <c r="Q109" s="68"/>
      <c r="R109" s="150"/>
      <c r="S109" s="397"/>
      <c r="T109" s="398"/>
      <c r="U109" s="398"/>
      <c r="V109" s="398"/>
      <c r="W109" s="399"/>
    </row>
    <row r="110" spans="2:23">
      <c r="B110" s="65"/>
      <c r="C110" s="44"/>
      <c r="D110" s="44"/>
      <c r="E110" s="405" t="str">
        <f>IF(Annexes!M9=FALSE,"Non-Concerné",IF(Annexes!M6=1,"Non-Concerné","Seulement le CA sur le nombre de jours de fermeture administrative"))</f>
        <v>Non-Concerné</v>
      </c>
      <c r="F110" s="405"/>
      <c r="G110" s="405"/>
      <c r="H110" s="405"/>
      <c r="I110" s="405"/>
      <c r="J110" s="406"/>
      <c r="K110" s="44"/>
      <c r="L110" s="40"/>
      <c r="M110" s="51"/>
      <c r="N110" s="40"/>
      <c r="O110" s="40"/>
      <c r="P110" s="136"/>
      <c r="Q110" s="68"/>
      <c r="R110" s="150"/>
      <c r="S110" s="397"/>
      <c r="T110" s="398"/>
      <c r="U110" s="398"/>
      <c r="V110" s="398"/>
      <c r="W110" s="399"/>
    </row>
    <row r="111" spans="2:23" ht="15.75" thickBot="1">
      <c r="B111" s="65"/>
      <c r="C111" s="44"/>
      <c r="D111" s="44"/>
      <c r="E111" s="40"/>
      <c r="F111" s="40"/>
      <c r="G111" s="40"/>
      <c r="H111" s="40"/>
      <c r="I111" s="40"/>
      <c r="J111" s="65"/>
      <c r="K111" s="44"/>
      <c r="L111" s="40"/>
      <c r="M111" s="40"/>
      <c r="N111" s="40"/>
      <c r="O111" s="40"/>
      <c r="P111" s="40"/>
      <c r="Q111" s="68"/>
      <c r="R111" s="150"/>
      <c r="S111" s="397"/>
      <c r="T111" s="398"/>
      <c r="U111" s="398"/>
      <c r="V111" s="398"/>
      <c r="W111" s="399"/>
    </row>
    <row r="112" spans="2:23" ht="15.75" thickBot="1">
      <c r="B112" s="65"/>
      <c r="C112" s="44"/>
      <c r="D112" s="44"/>
      <c r="E112" s="415" t="s">
        <v>16</v>
      </c>
      <c r="F112" s="415"/>
      <c r="G112" s="40"/>
      <c r="H112" s="40"/>
      <c r="I112" s="114">
        <v>0</v>
      </c>
      <c r="J112" s="65"/>
      <c r="K112" s="44"/>
      <c r="L112" s="40"/>
      <c r="M112" s="114">
        <v>0</v>
      </c>
      <c r="N112" s="88"/>
      <c r="O112" s="53"/>
      <c r="P112" s="40"/>
      <c r="Q112" s="68"/>
      <c r="R112" s="150"/>
      <c r="S112" s="397"/>
      <c r="T112" s="398"/>
      <c r="U112" s="398"/>
      <c r="V112" s="398"/>
      <c r="W112" s="399"/>
    </row>
    <row r="113" spans="2:23" ht="15.75" thickBot="1">
      <c r="B113" s="65"/>
      <c r="C113" s="44"/>
      <c r="D113" s="44"/>
      <c r="E113" s="40"/>
      <c r="F113" s="40"/>
      <c r="G113" s="40"/>
      <c r="H113" s="40"/>
      <c r="I113" s="40"/>
      <c r="J113" s="65"/>
      <c r="K113" s="44"/>
      <c r="L113" s="40"/>
      <c r="M113" s="40"/>
      <c r="N113" s="40"/>
      <c r="O113" s="40"/>
      <c r="P113" s="40"/>
      <c r="Q113" s="68"/>
      <c r="R113" s="150"/>
      <c r="S113" s="397"/>
      <c r="T113" s="398"/>
      <c r="U113" s="398"/>
      <c r="V113" s="398"/>
      <c r="W113" s="399"/>
    </row>
    <row r="114" spans="2:23" ht="15.75" thickBot="1">
      <c r="B114" s="65"/>
      <c r="C114" s="44"/>
      <c r="D114" s="44"/>
      <c r="E114" s="415" t="s">
        <v>17</v>
      </c>
      <c r="F114" s="415"/>
      <c r="G114" s="40"/>
      <c r="H114" s="40"/>
      <c r="I114" s="114">
        <v>0</v>
      </c>
      <c r="J114" s="65"/>
      <c r="K114" s="44"/>
      <c r="L114" s="40"/>
      <c r="M114" s="114">
        <v>0</v>
      </c>
      <c r="N114" s="88"/>
      <c r="O114" s="54"/>
      <c r="P114" s="40"/>
      <c r="Q114" s="68"/>
      <c r="R114" s="150"/>
      <c r="S114" s="397"/>
      <c r="T114" s="398"/>
      <c r="U114" s="398"/>
      <c r="V114" s="398"/>
      <c r="W114" s="399"/>
    </row>
    <row r="115" spans="2:23" ht="15.75" thickBot="1">
      <c r="B115" s="65"/>
      <c r="C115" s="44"/>
      <c r="D115" s="44"/>
      <c r="E115" s="40"/>
      <c r="F115" s="40"/>
      <c r="G115" s="40"/>
      <c r="H115" s="40"/>
      <c r="I115" s="40"/>
      <c r="J115" s="65"/>
      <c r="K115" s="44"/>
      <c r="L115" s="40"/>
      <c r="M115" s="40"/>
      <c r="N115" s="40"/>
      <c r="O115" s="40"/>
      <c r="P115" s="40"/>
      <c r="Q115" s="68"/>
      <c r="R115" s="150"/>
      <c r="S115" s="397"/>
      <c r="T115" s="398"/>
      <c r="U115" s="398"/>
      <c r="V115" s="398"/>
      <c r="W115" s="399"/>
    </row>
    <row r="116" spans="2:23" ht="15.75" thickBot="1">
      <c r="B116" s="65"/>
      <c r="C116" s="44"/>
      <c r="D116" s="44"/>
      <c r="E116" s="167" t="s">
        <v>94</v>
      </c>
      <c r="F116" s="40"/>
      <c r="G116" s="40"/>
      <c r="H116" s="40"/>
      <c r="I116" s="114">
        <v>0</v>
      </c>
      <c r="J116" s="65"/>
      <c r="K116" s="44"/>
      <c r="L116" s="40"/>
      <c r="M116" s="114">
        <v>0</v>
      </c>
      <c r="N116" s="40"/>
      <c r="O116" s="40"/>
      <c r="P116" s="40"/>
      <c r="Q116" s="68"/>
      <c r="R116" s="150"/>
      <c r="S116" s="397"/>
      <c r="T116" s="398"/>
      <c r="U116" s="398"/>
      <c r="V116" s="398"/>
      <c r="W116" s="399"/>
    </row>
    <row r="117" spans="2:23" ht="15.75" customHeight="1" thickBot="1">
      <c r="B117" s="65"/>
      <c r="C117" s="44"/>
      <c r="D117" s="44"/>
      <c r="E117" s="40"/>
      <c r="F117" s="40"/>
      <c r="G117" s="40"/>
      <c r="H117" s="40"/>
      <c r="I117" s="40"/>
      <c r="J117" s="65"/>
      <c r="K117" s="44"/>
      <c r="L117" s="40"/>
      <c r="M117" s="40"/>
      <c r="N117" s="40"/>
      <c r="O117" s="40"/>
      <c r="P117" s="40"/>
      <c r="Q117" s="68"/>
      <c r="R117" s="150"/>
      <c r="S117" s="397"/>
      <c r="T117" s="398"/>
      <c r="U117" s="398"/>
      <c r="V117" s="398"/>
      <c r="W117" s="399"/>
    </row>
    <row r="118" spans="2:23" ht="15.75" customHeight="1" thickBot="1">
      <c r="B118" s="65"/>
      <c r="C118" s="44"/>
      <c r="D118" s="44"/>
      <c r="E118" s="416" t="s">
        <v>18</v>
      </c>
      <c r="F118" s="416"/>
      <c r="G118" s="416"/>
      <c r="H118" s="40"/>
      <c r="I118" s="114">
        <f>I98*2</f>
        <v>0</v>
      </c>
      <c r="J118" s="89" t="str">
        <f>IF('Mon Entreprise'!K8&lt;Annexes!O17,"*","")</f>
        <v>*</v>
      </c>
      <c r="K118" s="44"/>
      <c r="L118" s="40"/>
      <c r="M118" s="114">
        <v>0</v>
      </c>
      <c r="N118" s="88"/>
      <c r="O118" s="40"/>
      <c r="P118" s="40"/>
      <c r="Q118" s="68"/>
      <c r="R118" s="150"/>
      <c r="S118" s="397"/>
      <c r="T118" s="398"/>
      <c r="U118" s="398"/>
      <c r="V118" s="398"/>
      <c r="W118" s="399"/>
    </row>
    <row r="119" spans="2:23">
      <c r="B119" s="65"/>
      <c r="C119" s="44"/>
      <c r="D119" s="44"/>
      <c r="E119" s="411" t="str">
        <f>IF(AND(Annexes!F7&gt;1,Annexes!F7&lt;=Annexes!H8),"","Non-Concerné")</f>
        <v>Non-Concerné</v>
      </c>
      <c r="F119" s="411"/>
      <c r="G119" s="411"/>
      <c r="H119" s="40"/>
      <c r="I119" s="51"/>
      <c r="J119" s="89"/>
      <c r="K119" s="44"/>
      <c r="L119" s="40"/>
      <c r="M119" s="40"/>
      <c r="N119" s="40"/>
      <c r="O119" s="40"/>
      <c r="P119" s="40"/>
      <c r="Q119" s="68"/>
      <c r="R119" s="150"/>
      <c r="S119" s="397"/>
      <c r="T119" s="398"/>
      <c r="U119" s="398"/>
      <c r="V119" s="398"/>
      <c r="W119" s="399"/>
    </row>
    <row r="120" spans="2:23">
      <c r="B120" s="65"/>
      <c r="C120" s="44"/>
      <c r="D120" s="44"/>
      <c r="E120" s="208"/>
      <c r="F120" s="208"/>
      <c r="G120" s="208"/>
      <c r="H120" s="40"/>
      <c r="I120" s="51"/>
      <c r="J120" s="89"/>
      <c r="K120" s="44"/>
      <c r="L120" s="407" t="s">
        <v>117</v>
      </c>
      <c r="M120" s="407"/>
      <c r="N120" s="407"/>
      <c r="O120" s="407"/>
      <c r="P120" s="40"/>
      <c r="Q120" s="68"/>
      <c r="R120" s="150"/>
      <c r="S120" s="397"/>
      <c r="T120" s="398"/>
      <c r="U120" s="398"/>
      <c r="V120" s="398"/>
      <c r="W120" s="399"/>
    </row>
    <row r="121" spans="2:23" ht="15.75" thickBot="1">
      <c r="B121" s="65"/>
      <c r="C121" s="44"/>
      <c r="D121" s="44"/>
      <c r="E121" s="208"/>
      <c r="F121" s="208"/>
      <c r="G121" s="208"/>
      <c r="H121" s="40"/>
      <c r="I121" s="51"/>
      <c r="J121" s="89"/>
      <c r="K121" s="44"/>
      <c r="L121" s="40"/>
      <c r="M121" s="40"/>
      <c r="N121" s="40"/>
      <c r="O121" s="40"/>
      <c r="P121" s="40"/>
      <c r="Q121" s="68"/>
      <c r="R121" s="150"/>
      <c r="S121" s="397"/>
      <c r="T121" s="398"/>
      <c r="U121" s="398"/>
      <c r="V121" s="398"/>
      <c r="W121" s="399"/>
    </row>
    <row r="122" spans="2:23" ht="15.75" thickBot="1">
      <c r="B122" s="65"/>
      <c r="C122" s="44"/>
      <c r="D122" s="44"/>
      <c r="E122" s="167" t="s">
        <v>118</v>
      </c>
      <c r="F122" s="40"/>
      <c r="G122" s="40"/>
      <c r="H122" s="40"/>
      <c r="I122" s="114">
        <v>0</v>
      </c>
      <c r="J122" s="65"/>
      <c r="K122" s="44"/>
      <c r="L122" s="40"/>
      <c r="M122" s="114">
        <v>0</v>
      </c>
      <c r="N122" s="40"/>
      <c r="O122" s="40"/>
      <c r="P122" s="40"/>
      <c r="Q122" s="68"/>
      <c r="R122" s="150"/>
      <c r="S122" s="419"/>
      <c r="T122" s="398"/>
      <c r="U122" s="398"/>
      <c r="V122" s="398"/>
      <c r="W122" s="399"/>
    </row>
    <row r="123" spans="2:23" ht="15.75" thickBot="1">
      <c r="B123" s="65"/>
      <c r="C123" s="44"/>
      <c r="D123" s="44"/>
      <c r="E123" s="40"/>
      <c r="F123" s="40"/>
      <c r="G123" s="40"/>
      <c r="H123" s="40"/>
      <c r="I123" s="40"/>
      <c r="J123" s="65"/>
      <c r="K123" s="44"/>
      <c r="L123" s="40"/>
      <c r="M123" s="40"/>
      <c r="N123" s="44"/>
      <c r="O123" s="40"/>
      <c r="P123" s="40"/>
      <c r="Q123" s="68"/>
      <c r="R123" s="150"/>
      <c r="S123" s="397"/>
      <c r="T123" s="398"/>
      <c r="U123" s="398"/>
      <c r="V123" s="398"/>
      <c r="W123" s="399"/>
    </row>
    <row r="124" spans="2:23" ht="15.75" thickBot="1">
      <c r="B124" s="65"/>
      <c r="C124" s="44"/>
      <c r="D124" s="44"/>
      <c r="E124" s="167" t="s">
        <v>308</v>
      </c>
      <c r="F124" s="40"/>
      <c r="G124" s="40"/>
      <c r="H124" s="40"/>
      <c r="I124" s="114">
        <v>0</v>
      </c>
      <c r="J124" s="65"/>
      <c r="K124" s="44"/>
      <c r="L124" s="40"/>
      <c r="M124" s="114">
        <v>0</v>
      </c>
      <c r="N124" s="44"/>
      <c r="O124" s="40"/>
      <c r="P124" s="40"/>
      <c r="Q124" s="68"/>
      <c r="R124" s="150"/>
      <c r="S124" s="397"/>
      <c r="T124" s="398"/>
      <c r="U124" s="398"/>
      <c r="V124" s="398"/>
      <c r="W124" s="399"/>
    </row>
    <row r="125" spans="2:23" ht="15.75" thickBot="1">
      <c r="B125" s="65"/>
      <c r="C125" s="44"/>
      <c r="D125" s="44"/>
      <c r="E125" s="40"/>
      <c r="F125" s="40"/>
      <c r="G125" s="40"/>
      <c r="H125" s="40"/>
      <c r="I125" s="40"/>
      <c r="J125" s="65"/>
      <c r="K125" s="44"/>
      <c r="L125" s="40"/>
      <c r="M125" s="40"/>
      <c r="N125" s="40"/>
      <c r="O125" s="40"/>
      <c r="P125" s="40"/>
      <c r="Q125" s="68"/>
      <c r="R125" s="150"/>
      <c r="S125" s="397"/>
      <c r="T125" s="398"/>
      <c r="U125" s="398"/>
      <c r="V125" s="398"/>
      <c r="W125" s="399"/>
    </row>
    <row r="126" spans="2:23" ht="15.75" thickBot="1">
      <c r="B126" s="65"/>
      <c r="C126" s="44"/>
      <c r="D126" s="44"/>
      <c r="E126" s="167" t="s">
        <v>381</v>
      </c>
      <c r="F126" s="40"/>
      <c r="G126" s="40"/>
      <c r="H126" s="40"/>
      <c r="I126" s="114">
        <v>0</v>
      </c>
      <c r="J126" s="65"/>
      <c r="K126" s="44"/>
      <c r="L126" s="40"/>
      <c r="M126" s="114">
        <v>0</v>
      </c>
      <c r="N126" s="40"/>
      <c r="O126" s="40"/>
      <c r="P126" s="40"/>
      <c r="Q126" s="68"/>
      <c r="R126" s="150"/>
      <c r="S126" s="397"/>
      <c r="T126" s="398"/>
      <c r="U126" s="398"/>
      <c r="V126" s="398"/>
      <c r="W126" s="399"/>
    </row>
    <row r="127" spans="2:23" ht="15.75" thickBot="1">
      <c r="B127" s="65"/>
      <c r="C127" s="44"/>
      <c r="D127" s="44"/>
      <c r="E127" s="40"/>
      <c r="F127" s="40"/>
      <c r="G127" s="40"/>
      <c r="H127" s="40"/>
      <c r="I127" s="40"/>
      <c r="J127" s="65"/>
      <c r="K127" s="44"/>
      <c r="L127" s="40"/>
      <c r="M127" s="40"/>
      <c r="N127" s="40"/>
      <c r="O127" s="40"/>
      <c r="P127" s="40"/>
      <c r="Q127" s="68"/>
      <c r="R127" s="150"/>
      <c r="S127" s="397"/>
      <c r="T127" s="398"/>
      <c r="U127" s="398"/>
      <c r="V127" s="398"/>
      <c r="W127" s="399"/>
    </row>
    <row r="128" spans="2:23" ht="15.75" thickBot="1">
      <c r="B128" s="65"/>
      <c r="C128" s="44"/>
      <c r="D128" s="44"/>
      <c r="E128" s="167" t="s">
        <v>440</v>
      </c>
      <c r="F128" s="40"/>
      <c r="G128" s="40"/>
      <c r="H128" s="40"/>
      <c r="I128" s="114">
        <v>0</v>
      </c>
      <c r="J128" s="65"/>
      <c r="K128" s="44"/>
      <c r="L128" s="40"/>
      <c r="M128" s="114">
        <v>0</v>
      </c>
      <c r="N128" s="40"/>
      <c r="O128" s="40"/>
      <c r="P128" s="40"/>
      <c r="Q128" s="68"/>
      <c r="R128" s="150"/>
      <c r="S128" s="397"/>
      <c r="T128" s="398"/>
      <c r="U128" s="398"/>
      <c r="V128" s="398"/>
      <c r="W128" s="399"/>
    </row>
    <row r="129" spans="2:23" ht="15.75" thickBot="1">
      <c r="B129" s="65"/>
      <c r="C129" s="44"/>
      <c r="D129" s="44"/>
      <c r="E129" s="40"/>
      <c r="F129" s="40"/>
      <c r="G129" s="40"/>
      <c r="H129" s="40"/>
      <c r="I129" s="40"/>
      <c r="J129" s="65"/>
      <c r="K129" s="44"/>
      <c r="L129" s="40"/>
      <c r="M129" s="40"/>
      <c r="N129" s="40"/>
      <c r="O129" s="40"/>
      <c r="P129" s="40"/>
      <c r="Q129" s="68"/>
      <c r="R129" s="150"/>
      <c r="S129" s="397"/>
      <c r="T129" s="398"/>
      <c r="U129" s="398"/>
      <c r="V129" s="398"/>
      <c r="W129" s="399"/>
    </row>
    <row r="130" spans="2:23" ht="15.75" thickBot="1">
      <c r="B130" s="65"/>
      <c r="C130" s="44"/>
      <c r="D130" s="44"/>
      <c r="E130" s="167" t="s">
        <v>459</v>
      </c>
      <c r="F130" s="40"/>
      <c r="G130" s="40"/>
      <c r="H130" s="40"/>
      <c r="I130" s="114">
        <v>0</v>
      </c>
      <c r="J130" s="65"/>
      <c r="K130" s="44"/>
      <c r="L130" s="40"/>
      <c r="M130" s="114">
        <v>0</v>
      </c>
      <c r="N130" s="40"/>
      <c r="O130" s="40"/>
      <c r="P130" s="40"/>
      <c r="Q130" s="68"/>
      <c r="R130" s="150"/>
      <c r="S130" s="397"/>
      <c r="T130" s="398"/>
      <c r="U130" s="398"/>
      <c r="V130" s="398"/>
      <c r="W130" s="399"/>
    </row>
    <row r="131" spans="2:23" ht="15.75" thickBot="1">
      <c r="B131" s="65"/>
      <c r="C131" s="44"/>
      <c r="D131" s="44"/>
      <c r="E131" s="40"/>
      <c r="F131" s="40"/>
      <c r="G131" s="40"/>
      <c r="H131" s="40"/>
      <c r="I131" s="40"/>
      <c r="J131" s="65"/>
      <c r="K131" s="40"/>
      <c r="L131" s="40"/>
      <c r="M131" s="40"/>
      <c r="N131" s="40"/>
      <c r="O131" s="40"/>
      <c r="P131" s="40"/>
      <c r="Q131" s="68"/>
      <c r="R131" s="150"/>
      <c r="S131" s="397"/>
      <c r="T131" s="398"/>
      <c r="U131" s="398"/>
      <c r="V131" s="398"/>
      <c r="W131" s="399"/>
    </row>
    <row r="132" spans="2:23" ht="15.75" thickBot="1">
      <c r="B132" s="65"/>
      <c r="C132" s="44"/>
      <c r="D132" s="44"/>
      <c r="E132" s="167" t="s">
        <v>467</v>
      </c>
      <c r="F132" s="40"/>
      <c r="G132" s="40"/>
      <c r="H132" s="40"/>
      <c r="I132" s="114">
        <v>0</v>
      </c>
      <c r="J132" s="65"/>
      <c r="K132" s="44"/>
      <c r="L132" s="40"/>
      <c r="M132" s="114">
        <v>0</v>
      </c>
      <c r="N132" s="40" t="s">
        <v>516</v>
      </c>
      <c r="O132" s="40"/>
      <c r="P132" s="40"/>
      <c r="Q132" s="68"/>
      <c r="R132" s="150"/>
      <c r="S132" s="397"/>
      <c r="T132" s="398"/>
      <c r="U132" s="398"/>
      <c r="V132" s="398"/>
      <c r="W132" s="399"/>
    </row>
    <row r="133" spans="2:23" ht="15.75" thickBot="1">
      <c r="B133" s="65"/>
      <c r="C133" s="44"/>
      <c r="D133" s="44"/>
      <c r="E133" s="40"/>
      <c r="F133" s="40"/>
      <c r="G133" s="40"/>
      <c r="H133" s="40"/>
      <c r="I133" s="40"/>
      <c r="J133" s="65"/>
      <c r="K133" s="44"/>
      <c r="L133" s="40"/>
      <c r="M133" s="40"/>
      <c r="N133" s="40"/>
      <c r="O133" s="40"/>
      <c r="P133" s="40"/>
      <c r="Q133" s="68"/>
      <c r="R133" s="150"/>
      <c r="S133" s="397"/>
      <c r="T133" s="398"/>
      <c r="U133" s="398"/>
      <c r="V133" s="398"/>
      <c r="W133" s="399"/>
    </row>
    <row r="134" spans="2:23" ht="15.75" thickBot="1">
      <c r="B134" s="65"/>
      <c r="C134" s="44"/>
      <c r="D134" s="44"/>
      <c r="E134" s="167" t="s">
        <v>468</v>
      </c>
      <c r="F134" s="40"/>
      <c r="G134" s="40"/>
      <c r="H134" s="40"/>
      <c r="I134" s="114">
        <v>0</v>
      </c>
      <c r="J134" s="65"/>
      <c r="K134" s="44"/>
      <c r="L134" s="40"/>
      <c r="M134" s="114">
        <v>0</v>
      </c>
      <c r="N134" s="40" t="s">
        <v>516</v>
      </c>
      <c r="O134" s="40"/>
      <c r="P134" s="40"/>
      <c r="Q134" s="68"/>
      <c r="R134" s="150"/>
      <c r="S134" s="397"/>
      <c r="T134" s="398"/>
      <c r="U134" s="398"/>
      <c r="V134" s="398"/>
      <c r="W134" s="399"/>
    </row>
    <row r="135" spans="2:23" ht="15.75" thickBot="1">
      <c r="B135" s="65"/>
      <c r="C135" s="44"/>
      <c r="D135" s="44"/>
      <c r="E135" s="40"/>
      <c r="F135" s="40"/>
      <c r="G135" s="40"/>
      <c r="H135" s="40"/>
      <c r="I135" s="40"/>
      <c r="J135" s="65"/>
      <c r="K135" s="40"/>
      <c r="L135" s="40"/>
      <c r="M135" s="40"/>
      <c r="N135" s="40"/>
      <c r="O135" s="40"/>
      <c r="P135" s="40"/>
      <c r="Q135" s="68"/>
      <c r="R135" s="150"/>
      <c r="S135" s="397"/>
      <c r="T135" s="398"/>
      <c r="U135" s="398"/>
      <c r="V135" s="398"/>
      <c r="W135" s="399"/>
    </row>
    <row r="136" spans="2:23" ht="15.75" thickBot="1">
      <c r="B136" s="65"/>
      <c r="C136" s="44"/>
      <c r="D136" s="44"/>
      <c r="E136" s="167" t="s">
        <v>500</v>
      </c>
      <c r="F136" s="40"/>
      <c r="G136" s="40"/>
      <c r="H136" s="40"/>
      <c r="I136" s="114">
        <v>0</v>
      </c>
      <c r="J136" s="65"/>
      <c r="K136" s="44"/>
      <c r="L136" s="40"/>
      <c r="M136" s="114">
        <v>0</v>
      </c>
      <c r="N136" s="40" t="s">
        <v>516</v>
      </c>
      <c r="O136" s="40"/>
      <c r="P136" s="40"/>
      <c r="Q136" s="68"/>
      <c r="R136" s="150"/>
      <c r="S136" s="408"/>
      <c r="T136" s="409"/>
      <c r="U136" s="409"/>
      <c r="V136" s="409"/>
      <c r="W136" s="410"/>
    </row>
    <row r="137" spans="2:23" ht="15.75" thickBot="1">
      <c r="B137" s="65"/>
      <c r="C137" s="44"/>
      <c r="D137" s="44"/>
      <c r="E137" s="40"/>
      <c r="F137" s="40"/>
      <c r="G137" s="40"/>
      <c r="H137" s="40"/>
      <c r="I137" s="40"/>
      <c r="J137" s="40"/>
      <c r="K137" s="40"/>
      <c r="L137" s="40"/>
      <c r="M137" s="40"/>
      <c r="N137" s="40"/>
      <c r="O137" s="40"/>
      <c r="P137" s="40"/>
      <c r="Q137" s="68"/>
      <c r="R137" s="150"/>
      <c r="S137" s="408"/>
      <c r="T137" s="409"/>
      <c r="U137" s="409"/>
      <c r="V137" s="409"/>
      <c r="W137" s="410"/>
    </row>
    <row r="138" spans="2:23" ht="15.75" thickBot="1">
      <c r="B138" s="65"/>
      <c r="C138" s="44"/>
      <c r="D138" s="44"/>
      <c r="E138" s="167" t="s">
        <v>522</v>
      </c>
      <c r="F138" s="40"/>
      <c r="G138" s="40"/>
      <c r="H138" s="40"/>
      <c r="I138" s="114">
        <v>0</v>
      </c>
      <c r="J138" s="65"/>
      <c r="K138" s="44"/>
      <c r="L138" s="40"/>
      <c r="M138" s="114">
        <v>0</v>
      </c>
      <c r="N138" s="40" t="s">
        <v>516</v>
      </c>
      <c r="O138" s="40"/>
      <c r="P138" s="40"/>
      <c r="Q138" s="68"/>
      <c r="R138" s="150"/>
      <c r="S138" s="408"/>
      <c r="T138" s="409"/>
      <c r="U138" s="409"/>
      <c r="V138" s="409"/>
      <c r="W138" s="410"/>
    </row>
    <row r="139" spans="2:23">
      <c r="B139" s="65"/>
      <c r="C139" s="44"/>
      <c r="D139" s="44"/>
      <c r="E139" s="40"/>
      <c r="F139" s="40"/>
      <c r="G139" s="40"/>
      <c r="H139" s="40"/>
      <c r="I139" s="40"/>
      <c r="J139" s="40"/>
      <c r="K139" s="40"/>
      <c r="L139" s="40"/>
      <c r="M139" s="40"/>
      <c r="N139" s="40"/>
      <c r="O139" s="40"/>
      <c r="P139" s="40"/>
      <c r="Q139" s="68"/>
      <c r="R139" s="150"/>
      <c r="S139" s="408"/>
      <c r="T139" s="409"/>
      <c r="U139" s="409"/>
      <c r="V139" s="409"/>
      <c r="W139" s="410"/>
    </row>
    <row r="140" spans="2:23">
      <c r="B140" s="65"/>
      <c r="C140" s="44"/>
      <c r="D140" s="44"/>
      <c r="E140" s="376" t="s">
        <v>517</v>
      </c>
      <c r="F140" s="40"/>
      <c r="G140" s="40"/>
      <c r="H140" s="40"/>
      <c r="I140" s="40"/>
      <c r="J140" s="40"/>
      <c r="K140" s="40"/>
      <c r="L140" s="40"/>
      <c r="M140" s="40"/>
      <c r="N140" s="40"/>
      <c r="O140" s="40"/>
      <c r="P140" s="40"/>
      <c r="Q140" s="68"/>
      <c r="R140" s="150"/>
      <c r="S140" s="408"/>
      <c r="T140" s="409"/>
      <c r="U140" s="409"/>
      <c r="V140" s="409"/>
      <c r="W140" s="410"/>
    </row>
    <row r="141" spans="2:23">
      <c r="B141" s="65"/>
      <c r="C141" s="44"/>
      <c r="D141" s="44"/>
      <c r="E141" s="40"/>
      <c r="F141" s="40"/>
      <c r="G141" s="40"/>
      <c r="H141" s="40"/>
      <c r="I141" s="40"/>
      <c r="J141" s="40"/>
      <c r="K141" s="40"/>
      <c r="L141" s="40"/>
      <c r="M141" s="40"/>
      <c r="N141" s="40"/>
      <c r="O141" s="40"/>
      <c r="P141" s="40"/>
      <c r="Q141" s="68"/>
      <c r="R141" s="150"/>
      <c r="S141" s="408"/>
      <c r="T141" s="409"/>
      <c r="U141" s="409"/>
      <c r="V141" s="409"/>
      <c r="W141" s="410"/>
    </row>
    <row r="142" spans="2:23">
      <c r="B142" s="65"/>
      <c r="C142" s="44"/>
      <c r="D142" s="44"/>
      <c r="E142" s="404" t="str">
        <f>IF(K8&lt;Annexes!O17,"A compléter seulement en cas de création d'activité à partir du 1er Janvier 2019","En cas de création d'activité à partir du 1er Janvier 2019")</f>
        <v>A compléter seulement en cas de création d'activité à partir du 1er Janvier 2019</v>
      </c>
      <c r="F142" s="404"/>
      <c r="G142" s="404"/>
      <c r="H142" s="404"/>
      <c r="I142" s="404"/>
      <c r="J142" s="404"/>
      <c r="K142" s="404"/>
      <c r="L142" s="404"/>
      <c r="M142" s="404"/>
      <c r="N142" s="404"/>
      <c r="O142" s="40"/>
      <c r="P142" s="40"/>
      <c r="Q142" s="68"/>
      <c r="R142" s="150"/>
      <c r="S142" s="408"/>
      <c r="T142" s="409"/>
      <c r="U142" s="409"/>
      <c r="V142" s="409"/>
      <c r="W142" s="410"/>
    </row>
    <row r="143" spans="2:23">
      <c r="B143" s="65"/>
      <c r="C143" s="44"/>
      <c r="D143" s="44"/>
      <c r="E143" s="40"/>
      <c r="F143" s="40"/>
      <c r="G143" s="40"/>
      <c r="H143" s="40"/>
      <c r="I143" s="51"/>
      <c r="J143" s="40"/>
      <c r="K143" s="40"/>
      <c r="L143" s="40"/>
      <c r="M143" s="40"/>
      <c r="N143" s="255"/>
      <c r="O143" s="40"/>
      <c r="P143" s="40"/>
      <c r="Q143" s="68"/>
      <c r="R143" s="150"/>
      <c r="S143" s="397"/>
      <c r="T143" s="398"/>
      <c r="U143" s="398"/>
      <c r="V143" s="398"/>
      <c r="W143" s="399"/>
    </row>
    <row r="144" spans="2:23">
      <c r="B144" s="65"/>
      <c r="C144" s="44"/>
      <c r="D144" s="44"/>
      <c r="E144" s="401" t="str">
        <f>IF(K8&gt;Annexes!R15,"",IF(K8&gt;=Annexes!O20,"Aide pour Avril 2021 :",""))</f>
        <v/>
      </c>
      <c r="F144" s="402"/>
      <c r="G144" s="402"/>
      <c r="H144" s="402"/>
      <c r="I144" s="402"/>
      <c r="J144" s="402"/>
      <c r="K144" s="40"/>
      <c r="L144" s="40"/>
      <c r="M144" s="40"/>
      <c r="N144" s="255"/>
      <c r="O144" s="40"/>
      <c r="P144" s="40"/>
      <c r="Q144" s="68"/>
      <c r="R144" s="150"/>
      <c r="S144" s="397"/>
      <c r="T144" s="398"/>
      <c r="U144" s="398"/>
      <c r="V144" s="398"/>
      <c r="W144" s="399"/>
    </row>
    <row r="145" spans="2:23" ht="15.75" thickBot="1">
      <c r="B145" s="65"/>
      <c r="C145" s="44"/>
      <c r="D145" s="44"/>
      <c r="E145" s="400" t="str">
        <f>IF(K8&gt;Annexes!R15,"",IF(K8&gt;Annexes!Q29,"Entreprise créée entre le 1er et le 31 Janvier 2020 :",IF(K8&gt;Annexes!Q26,"Entreprise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45" s="400"/>
      <c r="G145" s="400"/>
      <c r="H145" s="400"/>
      <c r="I145" s="400"/>
      <c r="J145" s="400"/>
      <c r="K145" s="40"/>
      <c r="L145" s="40"/>
      <c r="M145" s="40"/>
      <c r="N145" s="255"/>
      <c r="O145" s="40"/>
      <c r="P145" s="40"/>
      <c r="Q145" s="68"/>
      <c r="R145" s="150"/>
      <c r="S145" s="397"/>
      <c r="T145" s="398"/>
      <c r="U145" s="398"/>
      <c r="V145" s="398"/>
      <c r="W145" s="399"/>
    </row>
    <row r="146" spans="2:23" ht="15.75" thickBot="1">
      <c r="B146" s="65"/>
      <c r="C146" s="44"/>
      <c r="D146" s="44"/>
      <c r="E146" s="400" t="str">
        <f>IF(K8&gt;Annexes!R15,"",IF(K8&gt;Annexes!Q29,"- Chiffre d'affaires du mois de Février 2021",IF(K8&gt;Annexes!Q26,"-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46" s="400"/>
      <c r="G146" s="400"/>
      <c r="H146" s="400"/>
      <c r="I146" s="400"/>
      <c r="J146" s="400"/>
      <c r="K146" s="40"/>
      <c r="L146" s="40"/>
      <c r="M146" s="114">
        <v>0</v>
      </c>
      <c r="N146" s="255"/>
      <c r="O146" s="40"/>
      <c r="P146" s="40"/>
      <c r="Q146" s="68"/>
      <c r="R146" s="150"/>
      <c r="S146" s="397"/>
      <c r="T146" s="398"/>
      <c r="U146" s="398"/>
      <c r="V146" s="398"/>
      <c r="W146" s="399"/>
    </row>
    <row r="147" spans="2:23">
      <c r="B147" s="65"/>
      <c r="C147" s="44"/>
      <c r="D147" s="44"/>
      <c r="E147" s="257"/>
      <c r="F147" s="40"/>
      <c r="G147" s="40"/>
      <c r="H147" s="40"/>
      <c r="I147" s="51"/>
      <c r="J147" s="40"/>
      <c r="K147" s="40"/>
      <c r="L147" s="40"/>
      <c r="M147" s="40"/>
      <c r="N147" s="255"/>
      <c r="O147" s="40"/>
      <c r="P147" s="40"/>
      <c r="Q147" s="68"/>
      <c r="R147" s="150"/>
      <c r="S147" s="397"/>
      <c r="T147" s="398"/>
      <c r="U147" s="398"/>
      <c r="V147" s="398"/>
      <c r="W147" s="399"/>
    </row>
    <row r="148" spans="2:23">
      <c r="B148" s="65"/>
      <c r="C148" s="44"/>
      <c r="D148" s="44"/>
      <c r="E148" s="40"/>
      <c r="F148" s="403" t="str">
        <f>IF(K8&gt;Annexes!R15,"",IF(K8&gt;=Annexes!O14,"CA moyen sur un mois :",""))</f>
        <v/>
      </c>
      <c r="G148" s="403"/>
      <c r="H148" s="403"/>
      <c r="I148" s="51" t="str">
        <f>IFERROR(IF(K8&gt;Annexes!R15,"",IF(K8&gt;=Annexes!Q25,M146,IF(K8&gt;=Annexes!Q22,M146*360/(Annexes!Q26-K8+1)/12,IF(K8&gt;=Annexes!Q18,M146/4,IF(K8&gt;=Annexes!Q16,M146*360/(Annexes!Q17-K8+1)/12,IF(K8&gt;=Annexes!O20,M146*360/(Annexes!Q17-K8+1)/12,"")))))),0)</f>
        <v/>
      </c>
      <c r="J148" s="40"/>
      <c r="K148" s="40"/>
      <c r="L148" s="40"/>
      <c r="M148" s="40"/>
      <c r="N148" s="255"/>
      <c r="O148" s="40"/>
      <c r="P148" s="40"/>
      <c r="Q148" s="68"/>
      <c r="R148" s="150"/>
      <c r="S148" s="397"/>
      <c r="T148" s="398"/>
      <c r="U148" s="398"/>
      <c r="V148" s="398"/>
      <c r="W148" s="399"/>
    </row>
    <row r="149" spans="2:23">
      <c r="B149" s="65"/>
      <c r="C149" s="44"/>
      <c r="D149" s="44"/>
      <c r="E149" s="64"/>
      <c r="F149" s="64"/>
      <c r="G149" s="64"/>
      <c r="H149" s="64"/>
      <c r="I149" s="181"/>
      <c r="J149" s="64"/>
      <c r="K149" s="64"/>
      <c r="L149" s="64"/>
      <c r="M149" s="64"/>
      <c r="N149" s="255"/>
      <c r="O149" s="40"/>
      <c r="P149" s="40"/>
      <c r="Q149" s="68"/>
      <c r="R149" s="150"/>
      <c r="S149" s="397"/>
      <c r="T149" s="398"/>
      <c r="U149" s="398"/>
      <c r="V149" s="398"/>
      <c r="W149" s="399"/>
    </row>
    <row r="150" spans="2:23">
      <c r="B150" s="65"/>
      <c r="C150" s="44"/>
      <c r="D150" s="44"/>
      <c r="E150" s="40"/>
      <c r="F150" s="40"/>
      <c r="G150" s="40"/>
      <c r="H150" s="40"/>
      <c r="I150" s="51"/>
      <c r="J150" s="40"/>
      <c r="K150" s="40"/>
      <c r="L150" s="40"/>
      <c r="M150" s="40"/>
      <c r="N150" s="255"/>
      <c r="O150" s="40"/>
      <c r="P150" s="40"/>
      <c r="Q150" s="68"/>
      <c r="R150" s="150"/>
      <c r="S150" s="397"/>
      <c r="T150" s="398"/>
      <c r="U150" s="398"/>
      <c r="V150" s="398"/>
      <c r="W150" s="399"/>
    </row>
    <row r="151" spans="2:23">
      <c r="B151" s="65"/>
      <c r="C151" s="44"/>
      <c r="D151" s="44"/>
      <c r="E151" s="401" t="str">
        <f>IF(K8&gt;Annexes!Q29,"",IF(K8&gt;=Annexes!O20,"Aide pour Mars 2021 :",""))</f>
        <v/>
      </c>
      <c r="F151" s="402"/>
      <c r="G151" s="402"/>
      <c r="H151" s="402"/>
      <c r="I151" s="402"/>
      <c r="J151" s="402"/>
      <c r="K151" s="40"/>
      <c r="L151" s="40"/>
      <c r="M151" s="40"/>
      <c r="N151" s="255"/>
      <c r="O151" s="40"/>
      <c r="P151" s="40"/>
      <c r="Q151" s="68"/>
      <c r="R151" s="150"/>
      <c r="S151" s="397"/>
      <c r="T151" s="398"/>
      <c r="U151" s="398"/>
      <c r="V151" s="398"/>
      <c r="W151" s="399"/>
    </row>
    <row r="152" spans="2:23" ht="15.75" thickBot="1">
      <c r="B152" s="65"/>
      <c r="C152" s="44"/>
      <c r="D152" s="44"/>
      <c r="E152" s="400" t="str">
        <f>IF(K8&gt;Annexes!Q29,"",IF(K8&gt;Annexes!Q26,"Entreprise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52" s="400"/>
      <c r="G152" s="400"/>
      <c r="H152" s="400"/>
      <c r="I152" s="400"/>
      <c r="J152" s="400"/>
      <c r="K152" s="40"/>
      <c r="L152" s="40"/>
      <c r="M152" s="40"/>
      <c r="N152" s="255"/>
      <c r="O152" s="40"/>
      <c r="P152" s="40"/>
      <c r="Q152" s="68"/>
      <c r="R152" s="150"/>
      <c r="S152" s="397"/>
      <c r="T152" s="398"/>
      <c r="U152" s="398"/>
      <c r="V152" s="398"/>
      <c r="W152" s="399"/>
    </row>
    <row r="153" spans="2:23" ht="15.75" thickBot="1">
      <c r="B153" s="65"/>
      <c r="C153" s="44"/>
      <c r="D153" s="44"/>
      <c r="E153" s="400" t="str">
        <f>IF(K8&gt;Annexes!Q29,"",IF(K8&gt;Annexes!Q26,"-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53" s="400"/>
      <c r="G153" s="400"/>
      <c r="H153" s="400"/>
      <c r="I153" s="400"/>
      <c r="J153" s="400"/>
      <c r="K153" s="40"/>
      <c r="L153" s="40"/>
      <c r="M153" s="114">
        <v>0</v>
      </c>
      <c r="N153" s="255"/>
      <c r="O153" s="40"/>
      <c r="P153" s="40"/>
      <c r="Q153" s="68"/>
      <c r="R153" s="150"/>
      <c r="S153" s="397"/>
      <c r="T153" s="398"/>
      <c r="U153" s="398"/>
      <c r="V153" s="398"/>
      <c r="W153" s="399"/>
    </row>
    <row r="154" spans="2:23">
      <c r="B154" s="65"/>
      <c r="C154" s="44"/>
      <c r="D154" s="44"/>
      <c r="E154" s="257" t="str">
        <f>IF(K8&gt;Annexes!Q29,"",IF(AND(K8&gt;=Annexes!Q25,K8&lt;=Annexes!Q26),"ou, en cas d'interdiction d'accueil du public, le chiffre d'affaires du mois d'Octobre 2020 ramené sur un mois",""))</f>
        <v/>
      </c>
      <c r="F154" s="40"/>
      <c r="G154" s="40"/>
      <c r="H154" s="40"/>
      <c r="I154" s="51"/>
      <c r="J154" s="40"/>
      <c r="K154" s="40"/>
      <c r="L154" s="40"/>
      <c r="M154" s="40"/>
      <c r="N154" s="255"/>
      <c r="O154" s="40"/>
      <c r="P154" s="40"/>
      <c r="Q154" s="68"/>
      <c r="R154" s="150"/>
      <c r="S154" s="397"/>
      <c r="T154" s="398"/>
      <c r="U154" s="398"/>
      <c r="V154" s="398"/>
      <c r="W154" s="399"/>
    </row>
    <row r="155" spans="2:23">
      <c r="B155" s="65"/>
      <c r="C155" s="44"/>
      <c r="D155" s="44"/>
      <c r="E155" s="40"/>
      <c r="F155" s="403" t="str">
        <f>IF(K8&gt;Annexes!Q29,"",IF(K8&gt;=Annexes!O14,"CA moyen sur un mois :",""))</f>
        <v/>
      </c>
      <c r="G155" s="403"/>
      <c r="H155" s="403"/>
      <c r="I155" s="51" t="str">
        <f>IFERROR(IF(K8&gt;Annexes!Q29,"",IF(K8&gt;=Annexes!Q25,M153,IF(K8&gt;=Annexes!Q22,M153*360/(Annexes!Q26-K8+1)/12,IF(K8&gt;=Annexes!Q18,M153/4,IF(K8&gt;=Annexes!Q16,M153*360/(Annexes!Q17-K8+1)/12,IF(K8&gt;=Annexes!O20,M153*360/(Annexes!Q17-K8+1)/12,"")))))),0)</f>
        <v/>
      </c>
      <c r="J155" s="40"/>
      <c r="K155" s="40"/>
      <c r="L155" s="40"/>
      <c r="M155" s="40"/>
      <c r="N155" s="255"/>
      <c r="O155" s="40"/>
      <c r="P155" s="40"/>
      <c r="Q155" s="68"/>
      <c r="R155" s="150"/>
      <c r="S155" s="397"/>
      <c r="T155" s="398"/>
      <c r="U155" s="398"/>
      <c r="V155" s="398"/>
      <c r="W155" s="399"/>
    </row>
    <row r="156" spans="2:23">
      <c r="B156" s="65"/>
      <c r="C156" s="44"/>
      <c r="D156" s="44"/>
      <c r="E156" s="64"/>
      <c r="F156" s="64"/>
      <c r="G156" s="64"/>
      <c r="H156" s="64"/>
      <c r="I156" s="181"/>
      <c r="J156" s="64"/>
      <c r="K156" s="64"/>
      <c r="L156" s="64"/>
      <c r="M156" s="64"/>
      <c r="N156" s="255"/>
      <c r="O156" s="40"/>
      <c r="P156" s="40"/>
      <c r="Q156" s="68"/>
      <c r="R156" s="150"/>
      <c r="S156" s="397"/>
      <c r="T156" s="398"/>
      <c r="U156" s="398"/>
      <c r="V156" s="398"/>
      <c r="W156" s="399"/>
    </row>
    <row r="157" spans="2:23">
      <c r="B157" s="65"/>
      <c r="C157" s="44"/>
      <c r="D157" s="44"/>
      <c r="E157" s="44"/>
      <c r="F157" s="44"/>
      <c r="G157" s="44"/>
      <c r="H157" s="44"/>
      <c r="I157" s="51"/>
      <c r="J157" s="44"/>
      <c r="K157" s="44"/>
      <c r="L157" s="44"/>
      <c r="M157" s="44"/>
      <c r="N157" s="255"/>
      <c r="O157" s="40"/>
      <c r="P157" s="40"/>
      <c r="Q157" s="68"/>
      <c r="R157" s="150"/>
      <c r="S157" s="397"/>
      <c r="T157" s="398"/>
      <c r="U157" s="398"/>
      <c r="V157" s="398"/>
      <c r="W157" s="399"/>
    </row>
    <row r="158" spans="2:23">
      <c r="B158" s="65"/>
      <c r="C158" s="44"/>
      <c r="D158" s="44"/>
      <c r="E158" s="401" t="str">
        <f>IF(K8&gt;Annexes!Q26,"",IF(K8&gt;=Annexes!O20,"Aide pour Janvier et Février 2021 :",""))</f>
        <v/>
      </c>
      <c r="F158" s="402"/>
      <c r="G158" s="402"/>
      <c r="H158" s="402"/>
      <c r="I158" s="402"/>
      <c r="J158" s="402"/>
      <c r="K158" s="40"/>
      <c r="L158" s="40"/>
      <c r="M158" s="40"/>
      <c r="N158" s="255"/>
      <c r="O158" s="40"/>
      <c r="P158" s="40"/>
      <c r="Q158" s="68"/>
      <c r="R158" s="150"/>
      <c r="S158" s="397"/>
      <c r="T158" s="398"/>
      <c r="U158" s="398"/>
      <c r="V158" s="398"/>
      <c r="W158" s="399"/>
    </row>
    <row r="159" spans="2:23" ht="15.75" thickBot="1">
      <c r="B159" s="65"/>
      <c r="C159" s="44"/>
      <c r="D159" s="44"/>
      <c r="E159" s="400" t="str">
        <f>IF(K8&gt;Annexes!Q26,"",IF(K8&gt;=Annexes!Q25,"Entreprise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59" s="400"/>
      <c r="G159" s="400"/>
      <c r="H159" s="400"/>
      <c r="I159" s="400"/>
      <c r="J159" s="400"/>
      <c r="K159" s="40"/>
      <c r="L159" s="40"/>
      <c r="M159" s="40"/>
      <c r="N159" s="255"/>
      <c r="O159" s="40"/>
      <c r="P159" s="40"/>
      <c r="Q159" s="68"/>
      <c r="R159" s="150"/>
      <c r="S159" s="397"/>
      <c r="T159" s="398"/>
      <c r="U159" s="398"/>
      <c r="V159" s="398"/>
      <c r="W159" s="399"/>
    </row>
    <row r="160" spans="2:23" ht="15.75" thickBot="1">
      <c r="B160" s="65"/>
      <c r="C160" s="44"/>
      <c r="D160" s="44"/>
      <c r="E160" s="400" t="str">
        <f>IF(K8&gt;Annexes!Q26,"",IF(K8&gt;=Annexes!Q25,"-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60" s="400"/>
      <c r="G160" s="400"/>
      <c r="H160" s="400"/>
      <c r="I160" s="400"/>
      <c r="J160" s="400"/>
      <c r="K160" s="40"/>
      <c r="L160" s="40"/>
      <c r="M160" s="114">
        <v>0</v>
      </c>
      <c r="N160" s="255"/>
      <c r="O160" s="40"/>
      <c r="P160" s="40"/>
      <c r="Q160" s="68"/>
      <c r="R160" s="150"/>
      <c r="S160" s="397"/>
      <c r="T160" s="398"/>
      <c r="U160" s="398"/>
      <c r="V160" s="398"/>
      <c r="W160" s="399"/>
    </row>
    <row r="161" spans="2:23">
      <c r="B161" s="65"/>
      <c r="C161" s="44"/>
      <c r="D161" s="44"/>
      <c r="E161" s="257" t="str">
        <f>IF(K8&gt;Annexes!Q26,"",IF(K8&gt;=Annexes!Q25,"ou, en cas d'interdiction d'accueil du public, le chiffre d'affaires du mois d'Octobre 2020 ramené sur un mois",""))</f>
        <v/>
      </c>
      <c r="F161" s="40"/>
      <c r="G161" s="40"/>
      <c r="H161" s="40"/>
      <c r="I161" s="51"/>
      <c r="J161" s="40"/>
      <c r="K161" s="40"/>
      <c r="L161" s="40"/>
      <c r="M161" s="40"/>
      <c r="N161" s="255"/>
      <c r="O161" s="40"/>
      <c r="P161" s="40"/>
      <c r="Q161" s="68"/>
      <c r="R161" s="150"/>
      <c r="S161" s="397"/>
      <c r="T161" s="398"/>
      <c r="U161" s="398"/>
      <c r="V161" s="398"/>
      <c r="W161" s="399"/>
    </row>
    <row r="162" spans="2:23">
      <c r="B162" s="65"/>
      <c r="C162" s="44"/>
      <c r="D162" s="44"/>
      <c r="E162" s="40"/>
      <c r="F162" s="403" t="str">
        <f>IF(K8&gt;Annexes!Q26,"",IF(K8&gt;=Annexes!O14,"CA moyen sur un mois :",""))</f>
        <v/>
      </c>
      <c r="G162" s="403"/>
      <c r="H162" s="403"/>
      <c r="I162" s="51" t="str">
        <f>IFERROR(IF(K8&gt;Annexes!Q26,"",IF(K8&gt;=Annexes!Q25,M160,IF(K8&gt;=Annexes!Q22,M160*360/(Annexes!Q26-K8+1)/12,IF(K8&gt;=Annexes!Q18,M160/4,IF(K8&gt;=Annexes!Q16,M160*360/(Annexes!Q17-K8+1)/12,IF(K8&gt;=Annexes!O20,M160*360/(Annexes!Q17-K8+1)/12,"")))))),0)</f>
        <v/>
      </c>
      <c r="J162" s="40"/>
      <c r="K162" s="40"/>
      <c r="L162" s="40"/>
      <c r="M162" s="40"/>
      <c r="N162" s="255"/>
      <c r="O162" s="40"/>
      <c r="P162" s="40"/>
      <c r="Q162" s="68"/>
      <c r="R162" s="150"/>
      <c r="S162" s="397"/>
      <c r="T162" s="398"/>
      <c r="U162" s="398"/>
      <c r="V162" s="398"/>
      <c r="W162" s="399"/>
    </row>
    <row r="163" spans="2:23">
      <c r="B163" s="65"/>
      <c r="C163" s="44"/>
      <c r="D163" s="44"/>
      <c r="E163" s="64"/>
      <c r="F163" s="64"/>
      <c r="G163" s="64"/>
      <c r="H163" s="64"/>
      <c r="I163" s="181"/>
      <c r="J163" s="64"/>
      <c r="K163" s="64"/>
      <c r="L163" s="64"/>
      <c r="M163" s="64"/>
      <c r="N163" s="255"/>
      <c r="O163" s="40"/>
      <c r="P163" s="40"/>
      <c r="Q163" s="68"/>
      <c r="R163" s="150"/>
      <c r="S163" s="397"/>
      <c r="T163" s="398"/>
      <c r="U163" s="398"/>
      <c r="V163" s="398"/>
      <c r="W163" s="399"/>
    </row>
    <row r="164" spans="2:23">
      <c r="B164" s="65"/>
      <c r="C164" s="44"/>
      <c r="D164" s="44"/>
      <c r="E164" s="40"/>
      <c r="F164" s="40"/>
      <c r="G164" s="40"/>
      <c r="H164" s="40"/>
      <c r="I164" s="51"/>
      <c r="J164" s="40"/>
      <c r="K164" s="40"/>
      <c r="L164" s="40"/>
      <c r="M164" s="40"/>
      <c r="N164" s="58"/>
      <c r="O164" s="40"/>
      <c r="P164" s="40"/>
      <c r="Q164" s="68"/>
      <c r="R164" s="150"/>
      <c r="S164" s="397"/>
      <c r="T164" s="398"/>
      <c r="U164" s="398"/>
      <c r="V164" s="398"/>
      <c r="W164" s="399"/>
    </row>
    <row r="165" spans="2:23">
      <c r="B165" s="65"/>
      <c r="C165" s="44"/>
      <c r="D165" s="44"/>
      <c r="E165" s="402" t="str">
        <f>IF(K8&gt;Annexes!Q24,"",IF(K8&gt;=Annexes!O20,"Aide pour Décembre 2020 :",""))</f>
        <v/>
      </c>
      <c r="F165" s="402"/>
      <c r="G165" s="402"/>
      <c r="H165" s="402"/>
      <c r="I165" s="402"/>
      <c r="J165" s="402"/>
      <c r="K165" s="40"/>
      <c r="L165" s="40"/>
      <c r="M165" s="40"/>
      <c r="N165" s="58"/>
      <c r="O165" s="40"/>
      <c r="P165" s="40"/>
      <c r="Q165" s="68"/>
      <c r="R165" s="150"/>
      <c r="S165" s="397"/>
      <c r="T165" s="398"/>
      <c r="U165" s="398"/>
      <c r="V165" s="398"/>
      <c r="W165" s="399"/>
    </row>
    <row r="166" spans="2:23" ht="15.75" thickBot="1">
      <c r="B166" s="65"/>
      <c r="C166" s="44"/>
      <c r="D166" s="44"/>
      <c r="E166" s="400"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66" s="400"/>
      <c r="G166" s="400"/>
      <c r="H166" s="400"/>
      <c r="I166" s="400"/>
      <c r="J166" s="400"/>
      <c r="K166" s="40"/>
      <c r="L166" s="40"/>
      <c r="M166" s="40"/>
      <c r="N166" s="40"/>
      <c r="O166" s="40"/>
      <c r="P166" s="40"/>
      <c r="Q166" s="68"/>
      <c r="R166" s="150"/>
      <c r="S166" s="397"/>
      <c r="T166" s="398"/>
      <c r="U166" s="398"/>
      <c r="V166" s="398"/>
      <c r="W166" s="399"/>
    </row>
    <row r="167" spans="2:23" ht="15.75" thickBot="1">
      <c r="B167" s="65"/>
      <c r="C167" s="44"/>
      <c r="D167" s="44"/>
      <c r="E167" s="400" t="str">
        <f>IF(K8&gt;Annexes!Q24,"",IF(K8&gt;Annexes!Q22,"-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67" s="400"/>
      <c r="G167" s="400"/>
      <c r="H167" s="400"/>
      <c r="I167" s="400"/>
      <c r="J167" s="400"/>
      <c r="K167" s="40"/>
      <c r="L167" s="40"/>
      <c r="M167" s="114">
        <v>0</v>
      </c>
      <c r="N167" s="90"/>
      <c r="O167" s="40"/>
      <c r="P167" s="40"/>
      <c r="Q167" s="68"/>
      <c r="R167" s="150"/>
      <c r="S167" s="397"/>
      <c r="T167" s="398"/>
      <c r="U167" s="398"/>
      <c r="V167" s="398"/>
      <c r="W167" s="399"/>
    </row>
    <row r="168" spans="2:23">
      <c r="B168" s="65"/>
      <c r="C168" s="44"/>
      <c r="D168" s="44"/>
      <c r="E168" s="40"/>
      <c r="F168" s="40"/>
      <c r="G168" s="40"/>
      <c r="H168" s="40"/>
      <c r="I168" s="51"/>
      <c r="J168" s="40"/>
      <c r="K168" s="40"/>
      <c r="L168" s="40"/>
      <c r="M168" s="40"/>
      <c r="N168" s="40"/>
      <c r="O168" s="40"/>
      <c r="P168" s="40"/>
      <c r="Q168" s="68"/>
      <c r="R168" s="150"/>
      <c r="S168" s="397"/>
      <c r="T168" s="398"/>
      <c r="U168" s="398"/>
      <c r="V168" s="398"/>
      <c r="W168" s="399"/>
    </row>
    <row r="169" spans="2:23" ht="15.75" customHeight="1">
      <c r="B169" s="65"/>
      <c r="C169" s="44"/>
      <c r="D169" s="44"/>
      <c r="E169" s="40"/>
      <c r="F169" s="403" t="str">
        <f>IF(K8&gt;Annexes!Q24,"",IF(K8&gt;=Annexes!O20,"CA moyen sur un mois :",""))</f>
        <v/>
      </c>
      <c r="G169" s="403"/>
      <c r="H169" s="403"/>
      <c r="I169" s="51" t="str">
        <f>IF(K8&gt;Annexes!Q24,"",IF(K8&gt;Annexes!Q22,M167*360/(Annexes!Q26-K8+1)/12,IF(K8&gt;=Annexes!Q18,M167*360/123/12,IF(K8&gt;=Annexes!Q16,M167*29/(Annexes!Q17-K8+1),IF(K8&gt;=Annexes!O20,M167*360/(Annexes!Q17-K8+1)/12,"")))))</f>
        <v/>
      </c>
      <c r="J169" s="40"/>
      <c r="K169" s="40"/>
      <c r="L169" s="40"/>
      <c r="M169" s="40"/>
      <c r="N169" s="40"/>
      <c r="O169" s="40"/>
      <c r="P169" s="40"/>
      <c r="Q169" s="68"/>
      <c r="R169" s="150"/>
      <c r="S169" s="397"/>
      <c r="T169" s="398"/>
      <c r="U169" s="398"/>
      <c r="V169" s="398"/>
      <c r="W169" s="399"/>
    </row>
    <row r="170" spans="2:23" ht="15.75" customHeight="1">
      <c r="B170" s="65"/>
      <c r="C170" s="44"/>
      <c r="D170" s="44"/>
      <c r="E170" s="64"/>
      <c r="F170" s="64"/>
      <c r="G170" s="64"/>
      <c r="H170" s="64"/>
      <c r="I170" s="181"/>
      <c r="J170" s="64"/>
      <c r="K170" s="64"/>
      <c r="L170" s="64"/>
      <c r="M170" s="64"/>
      <c r="N170" s="40"/>
      <c r="O170" s="40"/>
      <c r="P170" s="40"/>
      <c r="Q170" s="68"/>
      <c r="R170" s="150"/>
      <c r="S170" s="397"/>
      <c r="T170" s="398"/>
      <c r="U170" s="398"/>
      <c r="V170" s="398"/>
      <c r="W170" s="399"/>
    </row>
    <row r="171" spans="2:23">
      <c r="B171" s="65"/>
      <c r="C171" s="44"/>
      <c r="D171" s="44"/>
      <c r="E171" s="40"/>
      <c r="F171" s="40"/>
      <c r="G171" s="40"/>
      <c r="H171" s="40"/>
      <c r="I171" s="51"/>
      <c r="J171" s="40"/>
      <c r="K171" s="40"/>
      <c r="L171" s="40"/>
      <c r="M171" s="40"/>
      <c r="N171" s="40"/>
      <c r="O171" s="40"/>
      <c r="P171" s="40"/>
      <c r="Q171" s="68"/>
      <c r="R171" s="150"/>
      <c r="S171" s="397"/>
      <c r="T171" s="398"/>
      <c r="U171" s="398"/>
      <c r="V171" s="398"/>
      <c r="W171" s="399"/>
    </row>
    <row r="172" spans="2:23">
      <c r="B172" s="65"/>
      <c r="C172" s="44"/>
      <c r="D172" s="44"/>
      <c r="E172" s="402" t="str">
        <f>IF(K8&gt;Annexes!Q24,"",(IF(K8&gt;=Annexes!O20,"Aides pour Septembre, Octobre et Novembre 2020 :","")))</f>
        <v/>
      </c>
      <c r="F172" s="402"/>
      <c r="G172" s="402"/>
      <c r="H172" s="402"/>
      <c r="I172" s="402"/>
      <c r="J172" s="402"/>
      <c r="K172" s="182"/>
      <c r="L172" s="182"/>
      <c r="M172" s="182"/>
      <c r="N172" s="40"/>
      <c r="O172" s="40"/>
      <c r="P172" s="40"/>
      <c r="Q172" s="68"/>
      <c r="R172" s="150"/>
      <c r="S172" s="397"/>
      <c r="T172" s="398"/>
      <c r="U172" s="398"/>
      <c r="V172" s="398"/>
      <c r="W172" s="399"/>
    </row>
    <row r="173" spans="2:23" ht="15.75" customHeight="1" thickBot="1">
      <c r="B173" s="65"/>
      <c r="C173" s="44"/>
      <c r="D173" s="44"/>
      <c r="E173" s="480"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73" s="480"/>
      <c r="G173" s="480"/>
      <c r="H173" s="480"/>
      <c r="I173" s="480"/>
      <c r="J173" s="480"/>
      <c r="K173" s="182"/>
      <c r="L173" s="182"/>
      <c r="M173" s="182"/>
      <c r="N173" s="40"/>
      <c r="O173" s="40"/>
      <c r="P173" s="40"/>
      <c r="Q173" s="68"/>
      <c r="R173" s="152"/>
      <c r="S173" s="397"/>
      <c r="T173" s="398"/>
      <c r="U173" s="398"/>
      <c r="V173" s="398"/>
      <c r="W173" s="399"/>
    </row>
    <row r="174" spans="2:23" ht="15.75" thickBot="1">
      <c r="B174" s="65"/>
      <c r="C174" s="44"/>
      <c r="D174" s="44"/>
      <c r="E174" s="481" t="str">
        <f>IF(K8&gt;Annexes!Q24,"",IF(K8&gt;Annexes!Q22,"- Chiffre d'affaires entre la création et le 30 Septembre 2020 :",IF(K8&gt;=Annexes!Q18,"- Chiffre d'affaires entre le 1er Juillet et le 30 Septembre 2020 :",IF(K8&gt;=Annexes!Q16,"- Chiffre d'affaires du mois de février 2020 :",IF(K8&gt;=Annexes!O20,"- Chiffre d'affaires entre la création et le 29 février 2020 :","")))))</f>
        <v/>
      </c>
      <c r="F174" s="481"/>
      <c r="G174" s="481"/>
      <c r="H174" s="481"/>
      <c r="I174" s="481"/>
      <c r="J174" s="481"/>
      <c r="K174" s="183"/>
      <c r="L174" s="183"/>
      <c r="M174" s="114">
        <v>0</v>
      </c>
      <c r="N174" s="90"/>
      <c r="O174" s="40"/>
      <c r="P174" s="40"/>
      <c r="Q174" s="72"/>
      <c r="R174" s="152"/>
      <c r="S174" s="397"/>
      <c r="T174" s="398"/>
      <c r="U174" s="398"/>
      <c r="V174" s="398"/>
      <c r="W174" s="399"/>
    </row>
    <row r="175" spans="2:23">
      <c r="B175" s="65"/>
      <c r="C175" s="44"/>
      <c r="D175" s="44"/>
      <c r="E175" s="44"/>
      <c r="F175" s="44"/>
      <c r="G175" s="44"/>
      <c r="H175" s="44"/>
      <c r="I175" s="51"/>
      <c r="J175" s="44"/>
      <c r="K175" s="44"/>
      <c r="L175" s="44"/>
      <c r="M175" s="44"/>
      <c r="N175" s="40"/>
      <c r="O175" s="40"/>
      <c r="P175" s="54"/>
      <c r="Q175" s="72"/>
      <c r="R175" s="152"/>
      <c r="S175" s="397"/>
      <c r="T175" s="398"/>
      <c r="U175" s="398"/>
      <c r="V175" s="398"/>
      <c r="W175" s="399"/>
    </row>
    <row r="176" spans="2:23">
      <c r="B176" s="65"/>
      <c r="C176" s="44"/>
      <c r="D176" s="44"/>
      <c r="E176" s="44"/>
      <c r="F176" s="424" t="str">
        <f>IF(K8&gt;Annexes!Q24,"",IF(K8&gt;=Annexes!O20,"CA moyen sur un mois :",""))</f>
        <v/>
      </c>
      <c r="G176" s="424"/>
      <c r="H176" s="424"/>
      <c r="I176" s="185" t="str">
        <f>IF(K8&gt;Annexes!Q24,"",IF(K8&gt;Annexes!Q22,M174*360/(Annexes!Q24-K8+1)/12,IF(K8&gt;=Annexes!Q18,M174*360/92/12,IF(K8&gt;=Annexes!Q16,M174*29/(Annexes!Q17-K8+1),IF(K8&gt;=Annexes!O20,M174*360/(Annexes!Q17-K8+1)/12,"")))))</f>
        <v/>
      </c>
      <c r="J176" s="44"/>
      <c r="K176" s="44"/>
      <c r="L176" s="44"/>
      <c r="M176" s="44"/>
      <c r="N176" s="40"/>
      <c r="O176" s="40"/>
      <c r="P176" s="54"/>
      <c r="Q176" s="72"/>
      <c r="R176" s="152"/>
      <c r="S176" s="397"/>
      <c r="T176" s="398"/>
      <c r="U176" s="398"/>
      <c r="V176" s="398"/>
      <c r="W176" s="399"/>
    </row>
    <row r="177" spans="2:23">
      <c r="B177" s="65"/>
      <c r="C177" s="44"/>
      <c r="D177" s="44"/>
      <c r="E177" s="44"/>
      <c r="F177" s="424" t="str">
        <f>IF(AND(Annexes!M9=TRUE,Annexes!M4&gt;1),IF(AND(K8&lt;=Annexes!Q23,K8&gt;=Annexes!O20),"Soit sur "&amp;Annexes!M4-1&amp;" Jour(s) (Septembre) :",""),"")</f>
        <v/>
      </c>
      <c r="G177" s="424"/>
      <c r="H177" s="424"/>
      <c r="I177" s="51" t="str">
        <f>IF(AND(Annexes!M9=TRUE,Annexes!M4&gt;1),IF(AND(K8&lt;=Annexes!Q23,K8&gt;=Annexes!O20),I176/30*(Annexes!M4-1),""),"")</f>
        <v/>
      </c>
      <c r="J177" s="44"/>
      <c r="K177" s="44"/>
      <c r="L177" s="44"/>
      <c r="M177" s="44"/>
      <c r="N177" s="40"/>
      <c r="O177" s="40"/>
      <c r="P177" s="51"/>
      <c r="Q177" s="72"/>
      <c r="R177" s="153"/>
      <c r="S177" s="397"/>
      <c r="T177" s="398"/>
      <c r="U177" s="398"/>
      <c r="V177" s="398"/>
      <c r="W177" s="399"/>
    </row>
    <row r="178" spans="2:23">
      <c r="B178" s="71"/>
      <c r="C178" s="44"/>
      <c r="D178" s="44"/>
      <c r="E178" s="44"/>
      <c r="F178" s="424" t="str">
        <f>IF(AND(Annexes!M9=TRUE,Annexes!M6&gt;1),IF(AND(K8&lt;=Annexes!Q23,K8&gt;=Annexes!O20),"Soit sur "&amp;Annexes!M6-1&amp;" Jour(s) (Octobre):",""),"")</f>
        <v/>
      </c>
      <c r="G178" s="424"/>
      <c r="H178" s="424"/>
      <c r="I178" s="51" t="str">
        <f>IF(AND(Annexes!M9=TRUE,Annexes!M6&gt;1),IF(AND(K8&lt;=Annexes!Q23,K8&gt;=Annexes!O20),I176/30*(Annexes!M6-1),""),"")</f>
        <v/>
      </c>
      <c r="J178" s="44"/>
      <c r="K178" s="44"/>
      <c r="L178" s="44"/>
      <c r="M178" s="44"/>
      <c r="N178" s="40"/>
      <c r="O178" s="40"/>
      <c r="P178" s="40"/>
      <c r="Q178" s="73"/>
      <c r="R178" s="154"/>
      <c r="S178" s="420"/>
      <c r="T178" s="421"/>
      <c r="U178" s="421"/>
      <c r="V178" s="421"/>
      <c r="W178" s="422"/>
    </row>
    <row r="179" spans="2:23">
      <c r="B179" s="65"/>
      <c r="C179" s="55"/>
      <c r="D179" s="55"/>
      <c r="E179" s="64"/>
      <c r="F179" s="186"/>
      <c r="G179" s="186"/>
      <c r="H179" s="186"/>
      <c r="I179" s="181"/>
      <c r="J179" s="64"/>
      <c r="K179" s="64"/>
      <c r="L179" s="64"/>
      <c r="M179" s="64"/>
      <c r="N179" s="40"/>
      <c r="O179" s="40"/>
      <c r="P179" s="44"/>
      <c r="Q179" s="68"/>
      <c r="R179" s="150"/>
      <c r="S179" s="420"/>
      <c r="T179" s="421"/>
      <c r="U179" s="421"/>
      <c r="V179" s="421"/>
      <c r="W179" s="422"/>
    </row>
    <row r="180" spans="2:23" ht="15" customHeight="1">
      <c r="B180" s="65"/>
      <c r="C180" s="44"/>
      <c r="D180" s="44"/>
      <c r="E180" s="44"/>
      <c r="F180" s="44"/>
      <c r="G180" s="44"/>
      <c r="H180" s="44"/>
      <c r="I180" s="51"/>
      <c r="J180" s="44"/>
      <c r="K180" s="44"/>
      <c r="L180" s="44"/>
      <c r="M180" s="44"/>
      <c r="N180" s="44"/>
      <c r="O180" s="40"/>
      <c r="P180" s="40"/>
      <c r="Q180" s="68"/>
      <c r="R180" s="155"/>
      <c r="S180" s="397"/>
      <c r="T180" s="398"/>
      <c r="U180" s="398"/>
      <c r="V180" s="398"/>
      <c r="W180" s="399"/>
    </row>
    <row r="181" spans="2:23" ht="15" customHeight="1">
      <c r="B181" s="65"/>
      <c r="C181" s="44"/>
      <c r="D181" s="44"/>
      <c r="E181" s="487" t="str">
        <f>IF(AND(Annexes!M9=TRUE,Annexes!M4&gt;1),IF(AND(K8&lt;=Annexes!Q23,K8&gt;=Annexes!Q18),"Aide pour Septembre 2020 :",""),"")</f>
        <v/>
      </c>
      <c r="F181" s="487"/>
      <c r="G181" s="487"/>
      <c r="H181" s="187"/>
      <c r="I181" s="44"/>
      <c r="J181" s="44"/>
      <c r="K181" s="44"/>
      <c r="L181" s="44"/>
      <c r="M181" s="44"/>
      <c r="N181" s="40"/>
      <c r="O181" s="40"/>
      <c r="P181" s="40"/>
      <c r="Q181" s="74"/>
      <c r="R181" s="155"/>
      <c r="S181" s="397"/>
      <c r="T181" s="398"/>
      <c r="U181" s="398"/>
      <c r="V181" s="398"/>
      <c r="W181" s="399"/>
    </row>
    <row r="182" spans="2:23" ht="15.75" thickBot="1">
      <c r="B182" s="65"/>
      <c r="C182" s="44"/>
      <c r="D182" s="44"/>
      <c r="E182" s="483" t="str">
        <f>IF(AND(Annexes!M9=TRUE,Annexes!M4&gt;1),IF(AND(K8&lt;=Annexes!Q23,K8&gt;=Annexes!Q18),"Entreprise créée entre le 1er Mars et le 31 Août 2020",""),"")</f>
        <v/>
      </c>
      <c r="F182" s="483"/>
      <c r="G182" s="483"/>
      <c r="H182" s="483"/>
      <c r="I182" s="483"/>
      <c r="J182" s="483"/>
      <c r="K182" s="483"/>
      <c r="L182" s="483"/>
      <c r="M182" s="483"/>
      <c r="N182" s="44"/>
      <c r="O182" s="40"/>
      <c r="P182" s="40"/>
      <c r="Q182" s="74"/>
      <c r="R182" s="150"/>
      <c r="S182" s="397"/>
      <c r="T182" s="398"/>
      <c r="U182" s="398"/>
      <c r="V182" s="398"/>
      <c r="W182" s="399"/>
    </row>
    <row r="183" spans="2:23" ht="15.75" thickBot="1">
      <c r="B183" s="1"/>
      <c r="C183" s="184"/>
      <c r="D183" s="44"/>
      <c r="E183" s="480" t="str">
        <f>IF(AND(Annexes!M9=TRUE,Annexes!M4&gt;1),IF(AND(K8&lt;=Annexes!Q23,K8&gt;=Annexes!Q18),"- Chiffre d'affaires entre la création et le 31 Août 2020 :",""),"")</f>
        <v/>
      </c>
      <c r="F183" s="480"/>
      <c r="G183" s="480"/>
      <c r="H183" s="480"/>
      <c r="I183" s="480"/>
      <c r="J183" s="480"/>
      <c r="K183" s="480"/>
      <c r="L183" s="480"/>
      <c r="M183" s="114">
        <v>0</v>
      </c>
      <c r="N183" s="90"/>
      <c r="O183" s="40"/>
      <c r="P183" s="44"/>
      <c r="Q183" s="68"/>
      <c r="R183" s="1"/>
      <c r="S183" s="397"/>
      <c r="T183" s="398"/>
      <c r="U183" s="398"/>
      <c r="V183" s="398"/>
      <c r="W183" s="399"/>
    </row>
    <row r="184" spans="2:23">
      <c r="B184" s="1"/>
      <c r="C184" s="184"/>
      <c r="D184" s="1"/>
      <c r="E184" s="44"/>
      <c r="F184" s="44"/>
      <c r="G184" s="44"/>
      <c r="H184" s="44"/>
      <c r="I184" s="44"/>
      <c r="J184" s="44"/>
      <c r="K184" s="44"/>
      <c r="L184" s="44"/>
      <c r="M184" s="44"/>
      <c r="N184" s="40"/>
      <c r="O184" s="40"/>
      <c r="P184" s="1"/>
      <c r="Q184" s="68"/>
      <c r="R184" s="1"/>
      <c r="S184" s="397"/>
      <c r="T184" s="398"/>
      <c r="U184" s="398"/>
      <c r="V184" s="398"/>
      <c r="W184" s="399"/>
    </row>
    <row r="185" spans="2:23">
      <c r="B185" s="8"/>
      <c r="C185" s="184"/>
      <c r="D185" s="1"/>
      <c r="E185" s="44"/>
      <c r="F185" s="424" t="str">
        <f>IF(AND(Annexes!M9=TRUE,Annexes!M4&gt;1),IF(AND(K8&lt;=Annexes!Q23,K8&gt;=Annexes!Q18),"Soit sur "&amp;Annexes!M4-1&amp;" Jour(s) :",""),"")</f>
        <v/>
      </c>
      <c r="G185" s="424"/>
      <c r="H185" s="424"/>
      <c r="I185" s="51" t="str">
        <f>IF(AND(Annexes!M9=TRUE,Annexes!M4&gt;1),IF(AND(K8&lt;=Annexes!Q23,K8&gt;=Annexes!Q18),M183*(Annexes!M4-1)/(Annexes!Q23-K8+1),""),"")</f>
        <v/>
      </c>
      <c r="J185" s="44"/>
      <c r="K185" s="44"/>
      <c r="L185" s="44"/>
      <c r="M185" s="44"/>
      <c r="N185" s="40"/>
      <c r="O185" s="40"/>
      <c r="P185" s="1"/>
      <c r="Q185" s="68"/>
      <c r="R185" s="1"/>
      <c r="S185" s="397"/>
      <c r="T185" s="398"/>
      <c r="U185" s="398"/>
      <c r="V185" s="398"/>
      <c r="W185" s="399"/>
    </row>
    <row r="186" spans="2:23">
      <c r="B186" s="1"/>
      <c r="C186" s="184"/>
      <c r="D186" s="8"/>
      <c r="E186" s="64"/>
      <c r="F186" s="186"/>
      <c r="G186" s="186"/>
      <c r="H186" s="186"/>
      <c r="I186" s="181"/>
      <c r="J186" s="64"/>
      <c r="K186" s="64"/>
      <c r="L186" s="64"/>
      <c r="M186" s="64"/>
      <c r="N186" s="40"/>
      <c r="O186" s="44"/>
      <c r="P186" s="1"/>
      <c r="Q186" s="68"/>
      <c r="R186" s="1"/>
      <c r="S186" s="397"/>
      <c r="T186" s="398"/>
      <c r="U186" s="398"/>
      <c r="V186" s="398"/>
      <c r="W186" s="399"/>
    </row>
    <row r="187" spans="2:23" ht="15.75" thickBot="1">
      <c r="B187" s="1"/>
      <c r="C187" s="184"/>
      <c r="D187" s="1"/>
      <c r="E187" s="44"/>
      <c r="F187" s="44"/>
      <c r="G187" s="44"/>
      <c r="H187" s="44"/>
      <c r="I187" s="44"/>
      <c r="J187" s="44"/>
      <c r="K187" s="44"/>
      <c r="L187" s="44"/>
      <c r="M187" s="44"/>
      <c r="N187" s="44"/>
      <c r="O187" s="40"/>
      <c r="P187" s="1"/>
      <c r="Q187" s="68"/>
      <c r="R187" s="1"/>
      <c r="S187" s="397"/>
      <c r="T187" s="398"/>
      <c r="U187" s="398"/>
      <c r="V187" s="398"/>
      <c r="W187" s="399"/>
    </row>
    <row r="188" spans="2:23" ht="15.75" thickBot="1">
      <c r="B188" s="1"/>
      <c r="C188" s="184"/>
      <c r="D188" s="1"/>
      <c r="E188" s="481" t="str">
        <f>IF(AND(K8&gt;=Annexes!O17,K8&lt;=Annexes!Q19),IF(OR(Annexes!M17=TRUE,AND(Annexes!F7&gt;1,Annexes!F7&lt;=Annexes!H8)),"- Chiffre d'affaires de la création au 15/03/2020 :","Case réservée aux activités mentionnées en annexe 2 (S1 bis) ou 3"),"")</f>
        <v/>
      </c>
      <c r="F188" s="481"/>
      <c r="G188" s="481"/>
      <c r="H188" s="481"/>
      <c r="I188" s="481"/>
      <c r="J188" s="481"/>
      <c r="K188" s="44"/>
      <c r="L188" s="44"/>
      <c r="M188" s="114">
        <v>0</v>
      </c>
      <c r="N188" s="90"/>
      <c r="O188" s="40"/>
      <c r="P188" s="1"/>
      <c r="Q188" s="68"/>
      <c r="R188" s="1"/>
      <c r="S188" s="397"/>
      <c r="T188" s="398"/>
      <c r="U188" s="398"/>
      <c r="V188" s="398"/>
      <c r="W188" s="399"/>
    </row>
    <row r="189" spans="2:23">
      <c r="B189" s="1"/>
      <c r="C189" s="184"/>
      <c r="D189" s="1"/>
      <c r="E189" s="55"/>
      <c r="F189" s="44"/>
      <c r="G189" s="44"/>
      <c r="H189" s="44"/>
      <c r="I189" s="44"/>
      <c r="J189" s="44"/>
      <c r="K189" s="44"/>
      <c r="L189" s="44"/>
      <c r="M189" s="44"/>
      <c r="N189" s="40"/>
      <c r="O189" s="40"/>
      <c r="P189" s="1"/>
      <c r="Q189" s="68"/>
      <c r="R189" s="1"/>
      <c r="S189" s="397"/>
      <c r="T189" s="398"/>
      <c r="U189" s="398"/>
      <c r="V189" s="398"/>
      <c r="W189" s="399"/>
    </row>
    <row r="190" spans="2:23">
      <c r="B190" s="1"/>
      <c r="C190" s="184"/>
      <c r="D190" s="1"/>
      <c r="E190" s="44"/>
      <c r="F190" s="479" t="str">
        <f>IF(AND(K8&gt;=Annexes!O17,K8&lt;=Annexes!Q19),IF(OR(Annexes!M17=TRUE,AND(Annexes!F7&gt;1,Annexes!F7&lt;=Annexes!H8)),"CA moyen sur deux mois :",""),"")</f>
        <v/>
      </c>
      <c r="G190" s="479"/>
      <c r="H190" s="479"/>
      <c r="I190" s="51" t="str">
        <f>IFERROR(IF(AND(K8&gt;=Annexes!O17,K8&lt;=Annexes!Q19),IF(OR(Annexes!M17=TRUE,AND(Annexes!F7&gt;1,Annexes!F7&lt;=Annexes!H8)),M188*360/(Annexes!Q20-K8+1)/6,""),""),0)</f>
        <v/>
      </c>
      <c r="J190" s="44"/>
      <c r="K190" s="44"/>
      <c r="L190" s="44"/>
      <c r="M190" s="44"/>
      <c r="N190" s="40"/>
      <c r="O190" s="44"/>
      <c r="P190" s="1"/>
      <c r="Q190" s="68"/>
      <c r="R190" s="1"/>
      <c r="S190" s="397"/>
      <c r="T190" s="398"/>
      <c r="U190" s="398"/>
      <c r="V190" s="398"/>
      <c r="W190" s="399"/>
    </row>
    <row r="191" spans="2:23" ht="15.75" thickBot="1">
      <c r="B191" s="1"/>
      <c r="C191" s="184"/>
      <c r="D191" s="1"/>
      <c r="E191" s="1"/>
      <c r="F191" s="1"/>
      <c r="G191" s="1"/>
      <c r="H191" s="1"/>
      <c r="I191" s="1"/>
      <c r="J191" s="1"/>
      <c r="K191" s="1"/>
      <c r="L191" s="1"/>
      <c r="M191" s="1"/>
      <c r="N191" s="1"/>
      <c r="O191" s="1"/>
      <c r="P191" s="1"/>
      <c r="Q191" s="68"/>
      <c r="R191" s="1"/>
      <c r="S191" s="397"/>
      <c r="T191" s="398"/>
      <c r="U191" s="398"/>
      <c r="V191" s="398"/>
      <c r="W191" s="399"/>
    </row>
    <row r="192" spans="2:23" ht="15.75" thickBot="1">
      <c r="B192" s="1"/>
      <c r="C192" s="184"/>
      <c r="D192" s="1"/>
      <c r="E192" s="481" t="str">
        <f>IF(AND(K8&gt;=Annexes!Q14,K8&lt;=Annexes!Q27),IF(OR(Annexes!M17=TRUE,AND(Annexes!F7&gt;1,Annexes!F7&lt;=Annexes!H8)),"- Chiffre d'affaires de la création au 31/10/2020 :","Case réservée aux activités mentionnées en annexe 2 (S1 bis) ou 3"),"")</f>
        <v/>
      </c>
      <c r="F192" s="481"/>
      <c r="G192" s="481"/>
      <c r="H192" s="481"/>
      <c r="I192" s="481"/>
      <c r="J192" s="481"/>
      <c r="K192" s="44"/>
      <c r="L192" s="44"/>
      <c r="M192" s="114">
        <v>0</v>
      </c>
      <c r="N192" s="109"/>
      <c r="O192" s="1"/>
      <c r="P192" s="1"/>
      <c r="Q192" s="68"/>
      <c r="R192" s="1"/>
      <c r="S192" s="397"/>
      <c r="T192" s="398"/>
      <c r="U192" s="398"/>
      <c r="V192" s="398"/>
      <c r="W192" s="399"/>
    </row>
    <row r="193" spans="2:23">
      <c r="B193" s="1"/>
      <c r="C193" s="184"/>
      <c r="D193" s="1"/>
      <c r="E193" s="478" t="str">
        <f>IF(AND(K8&gt;=Annexes!Q14,K8&lt;=Annexes!Q27),IF(OR(Annexes!M17=TRUE,AND(Annexes!F7&gt;1,Annexes!F7&lt;=Annexes!H8)),"Au lieu du 30/11/2020, depuis le décret 2021-79 du 28 Janvier 2021",""),"")</f>
        <v/>
      </c>
      <c r="F193" s="478"/>
      <c r="G193" s="478"/>
      <c r="H193" s="478"/>
      <c r="I193" s="478"/>
      <c r="J193" s="478"/>
      <c r="K193" s="478"/>
      <c r="L193" s="44"/>
      <c r="M193" s="44"/>
      <c r="N193" s="1"/>
      <c r="O193" s="1"/>
      <c r="P193" s="1"/>
      <c r="Q193" s="68"/>
      <c r="R193" s="1"/>
      <c r="S193" s="397"/>
      <c r="T193" s="398"/>
      <c r="U193" s="398"/>
      <c r="V193" s="398"/>
      <c r="W193" s="399"/>
    </row>
    <row r="194" spans="2:23">
      <c r="B194" s="1"/>
      <c r="C194" s="184"/>
      <c r="D194" s="1"/>
      <c r="E194" s="44"/>
      <c r="F194" s="479" t="str">
        <f>IF(AND(K8&gt;=Annexes!Q14,K8&lt;=Annexes!Q26),IF(OR(Annexes!M17=TRUE,AND(Annexes!F7&gt;1,Annexes!F7&lt;=Annexes!H8)),"CA moyen sur un mois :",""),"")</f>
        <v/>
      </c>
      <c r="G194" s="479"/>
      <c r="H194" s="479"/>
      <c r="I194" s="51" t="str">
        <f>IFERROR(IF(AND(K8&gt;=Annexes!Q14,K8&lt;=Annexes!Q26),IF(OR(Annexes!M17=TRUE,AND(Annexes!F7&gt;1,Annexes!F7&lt;=Annexes!H8)),M192*360/(Annexes!Q26-K8+1)/12,""),""),0)</f>
        <v/>
      </c>
      <c r="J194" s="44"/>
      <c r="K194" s="44"/>
      <c r="L194" s="44"/>
      <c r="M194" s="44"/>
      <c r="N194" s="1"/>
      <c r="O194" s="1"/>
      <c r="P194" s="1"/>
      <c r="Q194" s="68"/>
      <c r="R194" s="1"/>
      <c r="S194" s="397"/>
      <c r="T194" s="398"/>
      <c r="U194" s="398"/>
      <c r="V194" s="398"/>
      <c r="W194" s="399"/>
    </row>
    <row r="195" spans="2:23">
      <c r="B195" s="1"/>
      <c r="C195" s="184"/>
      <c r="D195" s="1"/>
      <c r="E195" s="55" t="str">
        <f>IF(AND(K8&gt;=Annexes!Q25,K8&lt;=Annexes!Q26),IF(OR(Annexes!M17=TRUE,AND(Annexes!F7&gt;1,Annexes!F7&lt;=Annexes!H8)),"Pour les créations après le 1er Octobre, merci de bien compléter le CA de Décembre 2020",""),"")</f>
        <v/>
      </c>
      <c r="F195" s="1"/>
      <c r="G195" s="1"/>
      <c r="H195" s="1"/>
      <c r="I195" s="1"/>
      <c r="J195" s="1"/>
      <c r="K195" s="1"/>
      <c r="L195" s="1"/>
      <c r="M195" s="1"/>
      <c r="N195" s="1"/>
      <c r="O195" s="1"/>
      <c r="P195" s="1"/>
      <c r="Q195" s="68"/>
      <c r="R195" s="1"/>
      <c r="S195" s="397"/>
      <c r="T195" s="398"/>
      <c r="U195" s="398"/>
      <c r="V195" s="398"/>
      <c r="W195" s="399"/>
    </row>
    <row r="196" spans="2:23">
      <c r="B196" s="1"/>
      <c r="C196" s="66"/>
      <c r="D196" s="78"/>
      <c r="E196" s="78"/>
      <c r="F196" s="78"/>
      <c r="G196" s="78"/>
      <c r="H196" s="78"/>
      <c r="I196" s="78"/>
      <c r="J196" s="78"/>
      <c r="K196" s="78"/>
      <c r="L196" s="78"/>
      <c r="M196" s="78"/>
      <c r="N196" s="78"/>
      <c r="O196" s="78"/>
      <c r="P196" s="78"/>
      <c r="Q196" s="75"/>
      <c r="R196" s="1"/>
      <c r="S196" s="484"/>
      <c r="T196" s="485"/>
      <c r="U196" s="485"/>
      <c r="V196" s="485"/>
      <c r="W196" s="486"/>
    </row>
    <row r="197" spans="2:23">
      <c r="B197" s="1"/>
      <c r="C197" s="1"/>
      <c r="D197" s="1"/>
      <c r="E197" s="1"/>
      <c r="F197" s="1"/>
      <c r="G197" s="1"/>
      <c r="H197" s="1"/>
      <c r="I197" s="1"/>
      <c r="J197" s="1"/>
      <c r="K197" s="1"/>
      <c r="L197" s="1"/>
      <c r="M197" s="1"/>
      <c r="N197" s="1"/>
      <c r="O197" s="1"/>
      <c r="P197" s="1"/>
      <c r="Q197" s="1"/>
      <c r="R197" s="1"/>
    </row>
    <row r="198" spans="2:23">
      <c r="B198" s="1"/>
      <c r="C198" s="1"/>
      <c r="D198" s="1"/>
      <c r="E198" s="1"/>
      <c r="F198" s="1"/>
      <c r="G198" s="1"/>
      <c r="H198" s="1"/>
      <c r="I198" s="1"/>
      <c r="J198" s="1"/>
      <c r="K198" s="1"/>
      <c r="L198" s="1"/>
      <c r="M198" s="1"/>
      <c r="N198" s="1"/>
      <c r="O198" s="1"/>
      <c r="P198" s="1"/>
      <c r="Q198" s="1"/>
      <c r="R198" s="1"/>
    </row>
    <row r="199" spans="2:23">
      <c r="B199" s="1"/>
      <c r="C199" s="1"/>
      <c r="D199" s="1"/>
      <c r="E199" s="1"/>
      <c r="F199" s="1"/>
      <c r="G199" s="1"/>
      <c r="H199" s="1"/>
      <c r="I199" s="1"/>
      <c r="J199" s="1"/>
      <c r="K199" s="1"/>
      <c r="L199" s="1"/>
      <c r="M199" s="1"/>
      <c r="N199" s="1"/>
      <c r="O199" s="1"/>
      <c r="P199" s="1"/>
      <c r="Q199" s="1"/>
      <c r="R199" s="1"/>
    </row>
    <row r="200" spans="2:23">
      <c r="B200" s="1"/>
      <c r="C200" s="1"/>
      <c r="D200" s="1"/>
      <c r="E200" s="1"/>
      <c r="F200" s="1"/>
      <c r="G200" s="1"/>
      <c r="H200" s="1"/>
      <c r="I200" s="1"/>
      <c r="J200" s="1"/>
      <c r="K200" s="1"/>
      <c r="L200" s="1"/>
      <c r="M200" s="1"/>
      <c r="N200" s="1"/>
      <c r="O200" s="1"/>
      <c r="P200" s="1"/>
      <c r="Q200" s="1"/>
      <c r="R200" s="1"/>
    </row>
    <row r="201" spans="2:23">
      <c r="B201" s="1"/>
      <c r="C201" s="1"/>
      <c r="D201" s="1"/>
      <c r="E201" s="1"/>
      <c r="F201" s="1"/>
      <c r="G201" s="1"/>
      <c r="H201" s="1"/>
      <c r="I201" s="1"/>
      <c r="J201" s="1"/>
      <c r="K201" s="1"/>
      <c r="L201" s="1"/>
      <c r="M201" s="1"/>
      <c r="N201" s="1"/>
      <c r="O201" s="1"/>
      <c r="P201" s="1"/>
      <c r="Q201" s="1"/>
      <c r="R201" s="1"/>
    </row>
    <row r="202" spans="2:23">
      <c r="B202" s="1"/>
      <c r="C202" s="1"/>
      <c r="D202" s="1"/>
      <c r="E202" s="1"/>
      <c r="F202" s="1"/>
      <c r="G202" s="1"/>
      <c r="H202" s="1"/>
      <c r="I202" s="1"/>
      <c r="J202" s="1"/>
      <c r="K202" s="1"/>
      <c r="L202" s="1"/>
      <c r="M202" s="1"/>
      <c r="N202" s="1"/>
      <c r="O202" s="1"/>
      <c r="P202" s="1"/>
      <c r="Q202" s="1"/>
      <c r="R202" s="1"/>
    </row>
    <row r="203" spans="2:23">
      <c r="B203" s="1"/>
      <c r="C203" s="1"/>
      <c r="D203" s="1"/>
      <c r="E203" s="1"/>
      <c r="F203" s="1"/>
      <c r="G203" s="1"/>
      <c r="H203" s="1"/>
      <c r="I203" s="1"/>
      <c r="J203" s="1"/>
      <c r="K203" s="1"/>
      <c r="L203" s="1"/>
      <c r="M203" s="1"/>
      <c r="N203" s="1"/>
      <c r="O203" s="1"/>
      <c r="P203" s="1"/>
      <c r="Q203" s="1"/>
      <c r="R203" s="1"/>
    </row>
    <row r="204" spans="2:23">
      <c r="B204" s="1"/>
      <c r="C204" s="1"/>
      <c r="D204" s="1"/>
      <c r="E204" s="1"/>
      <c r="F204" s="1"/>
      <c r="G204" s="1"/>
      <c r="H204" s="1"/>
      <c r="I204" s="1"/>
      <c r="J204" s="1"/>
      <c r="K204" s="1"/>
      <c r="L204" s="1"/>
      <c r="M204" s="1"/>
      <c r="N204" s="1"/>
      <c r="O204" s="1"/>
      <c r="P204" s="1"/>
      <c r="Q204" s="1"/>
      <c r="R204" s="1"/>
    </row>
    <row r="205" spans="2:23">
      <c r="B205" s="1"/>
      <c r="C205" s="1"/>
      <c r="D205" s="1"/>
      <c r="E205" s="1"/>
      <c r="F205" s="1"/>
      <c r="G205" s="1"/>
      <c r="H205" s="1"/>
      <c r="I205" s="1"/>
      <c r="J205" s="1"/>
      <c r="K205" s="1"/>
      <c r="L205" s="1"/>
      <c r="M205" s="1"/>
      <c r="N205" s="1"/>
      <c r="O205" s="1"/>
      <c r="P205" s="1"/>
      <c r="Q205" s="1"/>
      <c r="R205" s="1"/>
    </row>
    <row r="206" spans="2:23">
      <c r="B206" s="1"/>
      <c r="C206" s="1"/>
      <c r="D206" s="1"/>
      <c r="E206" s="1"/>
      <c r="F206" s="1"/>
      <c r="G206" s="1"/>
      <c r="H206" s="1"/>
      <c r="I206" s="1"/>
      <c r="J206" s="1"/>
      <c r="K206" s="1"/>
      <c r="L206" s="1"/>
      <c r="M206" s="1"/>
      <c r="N206" s="1"/>
      <c r="O206" s="1"/>
      <c r="P206" s="1"/>
      <c r="Q206" s="1"/>
      <c r="R206" s="1"/>
    </row>
    <row r="207" spans="2:23">
      <c r="B207" s="8"/>
      <c r="C207" s="1"/>
      <c r="D207" s="1"/>
      <c r="E207" s="1"/>
      <c r="F207" s="1"/>
      <c r="G207" s="1"/>
      <c r="H207" s="1"/>
      <c r="I207" s="1"/>
      <c r="J207" s="1"/>
      <c r="K207" s="1"/>
      <c r="L207" s="1"/>
      <c r="M207" s="1"/>
      <c r="N207" s="1"/>
      <c r="O207" s="1"/>
      <c r="P207" s="1"/>
      <c r="Q207" s="1"/>
      <c r="R207" s="1"/>
      <c r="S207" s="1"/>
      <c r="T207" s="1"/>
      <c r="U207" s="1"/>
    </row>
    <row r="208" spans="2:23">
      <c r="B208" s="1"/>
      <c r="C208" s="8"/>
      <c r="D208" s="8"/>
      <c r="E208" s="1"/>
      <c r="F208" s="1"/>
      <c r="G208" s="1"/>
      <c r="H208" s="1"/>
      <c r="I208" s="1"/>
      <c r="J208" s="1"/>
      <c r="K208" s="1"/>
      <c r="L208" s="1"/>
      <c r="M208" s="1"/>
      <c r="N208" s="1"/>
      <c r="O208" s="1"/>
      <c r="P208" s="1"/>
      <c r="Q208" s="1"/>
      <c r="R208" s="1"/>
      <c r="S208" s="1"/>
      <c r="T208" s="1"/>
      <c r="U208" s="1"/>
    </row>
    <row r="209" spans="2:21">
      <c r="B209" s="1"/>
      <c r="C209" s="1"/>
      <c r="D209" s="1"/>
      <c r="E209" s="1"/>
      <c r="F209" s="1"/>
      <c r="G209" s="1"/>
      <c r="H209" s="1"/>
      <c r="I209" s="1"/>
      <c r="J209" s="1"/>
      <c r="K209" s="1"/>
      <c r="L209" s="1"/>
      <c r="M209" s="1"/>
      <c r="N209" s="1"/>
      <c r="O209" s="1"/>
      <c r="P209" s="1"/>
      <c r="Q209" s="1"/>
      <c r="R209" s="1"/>
      <c r="S209" s="1"/>
      <c r="T209" s="1"/>
      <c r="U209" s="1"/>
    </row>
    <row r="210" spans="2:21">
      <c r="B210" s="1"/>
      <c r="C210" s="1"/>
      <c r="D210" s="1"/>
      <c r="E210" s="1"/>
      <c r="F210" s="1"/>
      <c r="G210" s="1"/>
      <c r="H210" s="1"/>
      <c r="I210" s="1"/>
      <c r="J210" s="1"/>
      <c r="K210" s="1"/>
      <c r="L210" s="1"/>
      <c r="M210" s="1"/>
      <c r="N210" s="1"/>
      <c r="O210" s="1"/>
      <c r="P210" s="1"/>
      <c r="Q210" s="1"/>
      <c r="R210" s="1"/>
      <c r="S210" s="1"/>
      <c r="T210" s="1"/>
      <c r="U210" s="1"/>
    </row>
    <row r="211" spans="2:21">
      <c r="B211" s="1"/>
      <c r="C211" s="1"/>
      <c r="D211" s="1"/>
      <c r="E211" s="1"/>
      <c r="F211" s="1"/>
      <c r="G211" s="1"/>
      <c r="H211" s="1"/>
      <c r="I211" s="1"/>
      <c r="J211" s="1"/>
      <c r="K211" s="1"/>
      <c r="L211" s="1"/>
      <c r="M211" s="1"/>
      <c r="N211" s="1"/>
      <c r="O211" s="1"/>
      <c r="P211" s="1"/>
      <c r="Q211" s="1"/>
      <c r="R211" s="1"/>
      <c r="S211" s="1"/>
      <c r="T211" s="1"/>
      <c r="U211" s="1"/>
    </row>
    <row r="212" spans="2:21">
      <c r="B212" s="1"/>
      <c r="C212" s="1"/>
      <c r="D212" s="1"/>
      <c r="E212" s="1"/>
      <c r="F212" s="1"/>
      <c r="G212" s="1"/>
      <c r="H212" s="1"/>
      <c r="I212" s="1"/>
      <c r="J212" s="1"/>
      <c r="K212" s="1"/>
      <c r="L212" s="1"/>
      <c r="M212" s="1"/>
      <c r="N212" s="1"/>
      <c r="O212" s="1"/>
      <c r="P212" s="1"/>
      <c r="Q212" s="1"/>
      <c r="R212" s="1"/>
      <c r="S212" s="1"/>
      <c r="T212" s="1"/>
      <c r="U212" s="1"/>
    </row>
    <row r="213" spans="2:21">
      <c r="B213" s="1"/>
      <c r="C213" s="1"/>
      <c r="D213" s="1"/>
      <c r="E213" s="1"/>
      <c r="F213" s="1"/>
      <c r="G213" s="1"/>
      <c r="H213" s="1"/>
      <c r="I213" s="1"/>
      <c r="J213" s="1"/>
      <c r="K213" s="1"/>
      <c r="L213" s="1"/>
      <c r="M213" s="1"/>
      <c r="N213" s="1"/>
      <c r="O213" s="1"/>
      <c r="P213" s="1"/>
      <c r="Q213" s="1"/>
      <c r="R213" s="1"/>
      <c r="S213" s="1"/>
      <c r="T213" s="1"/>
      <c r="U213" s="1"/>
    </row>
    <row r="214" spans="2:21">
      <c r="B214" s="1"/>
      <c r="C214" s="1"/>
      <c r="D214" s="1"/>
      <c r="E214" s="1"/>
      <c r="F214" s="1"/>
      <c r="G214" s="1"/>
      <c r="H214" s="1"/>
      <c r="I214" s="1"/>
      <c r="J214" s="1"/>
      <c r="K214" s="1"/>
      <c r="L214" s="1"/>
      <c r="M214" s="1"/>
      <c r="N214" s="1"/>
      <c r="O214" s="1"/>
      <c r="P214" s="1"/>
      <c r="Q214" s="1"/>
      <c r="R214" s="1"/>
      <c r="S214" s="1"/>
      <c r="T214" s="1"/>
      <c r="U214" s="1"/>
    </row>
    <row r="215" spans="2:21">
      <c r="B215" s="1"/>
      <c r="C215" s="1"/>
      <c r="D215" s="1"/>
      <c r="E215" s="1"/>
      <c r="F215" s="1"/>
      <c r="G215" s="1"/>
      <c r="H215" s="1"/>
      <c r="I215" s="1"/>
      <c r="J215" s="1"/>
      <c r="K215" s="1"/>
      <c r="L215" s="1"/>
      <c r="M215" s="1"/>
      <c r="N215" s="1"/>
      <c r="O215" s="1"/>
      <c r="P215" s="1"/>
      <c r="Q215" s="1"/>
      <c r="R215" s="1"/>
      <c r="S215" s="1"/>
      <c r="T215" s="1"/>
      <c r="U215" s="1"/>
    </row>
    <row r="216" spans="2:21">
      <c r="B216" s="1"/>
      <c r="C216" s="1"/>
      <c r="D216" s="1"/>
      <c r="E216" s="1"/>
      <c r="F216" s="1"/>
      <c r="G216" s="1"/>
      <c r="H216" s="1"/>
      <c r="I216" s="1"/>
      <c r="J216" s="1"/>
      <c r="K216" s="1"/>
      <c r="L216" s="1"/>
      <c r="M216" s="1"/>
      <c r="N216" s="1"/>
      <c r="O216" s="1"/>
      <c r="P216" s="1"/>
      <c r="Q216" s="1"/>
      <c r="R216" s="1"/>
      <c r="S216" s="1"/>
      <c r="T216" s="1"/>
      <c r="U216" s="1"/>
    </row>
    <row r="217" spans="2:21">
      <c r="B217" s="1"/>
      <c r="C217" s="1"/>
      <c r="D217" s="1"/>
      <c r="E217" s="1"/>
      <c r="F217" s="1"/>
      <c r="G217" s="1"/>
      <c r="H217" s="1"/>
      <c r="I217" s="1"/>
      <c r="J217" s="1"/>
      <c r="K217" s="1"/>
      <c r="L217" s="1"/>
      <c r="M217" s="1"/>
      <c r="N217" s="1"/>
      <c r="O217" s="1"/>
      <c r="P217" s="1"/>
      <c r="Q217" s="1"/>
      <c r="R217" s="1"/>
      <c r="S217" s="1"/>
      <c r="T217" s="1"/>
      <c r="U217" s="1"/>
    </row>
    <row r="218" spans="2:21">
      <c r="B218" s="1"/>
      <c r="C218" s="1"/>
      <c r="D218" s="1"/>
      <c r="E218" s="1"/>
      <c r="F218" s="1"/>
      <c r="G218" s="1"/>
      <c r="H218" s="1"/>
      <c r="I218" s="1"/>
      <c r="J218" s="1"/>
      <c r="K218" s="1"/>
      <c r="L218" s="1"/>
      <c r="M218" s="1"/>
      <c r="N218" s="1"/>
      <c r="O218" s="1"/>
      <c r="P218" s="1"/>
      <c r="Q218" s="1"/>
      <c r="R218" s="1"/>
      <c r="S218" s="1"/>
      <c r="T218" s="1"/>
      <c r="U218" s="1"/>
    </row>
    <row r="219" spans="2:21">
      <c r="B219" s="1"/>
      <c r="C219" s="1"/>
      <c r="D219" s="1"/>
      <c r="E219" s="1"/>
      <c r="F219" s="1"/>
      <c r="G219" s="1"/>
      <c r="H219" s="1"/>
      <c r="I219" s="1"/>
      <c r="J219" s="1"/>
      <c r="K219" s="1"/>
      <c r="L219" s="1"/>
      <c r="M219" s="1"/>
      <c r="N219" s="1"/>
      <c r="O219" s="1"/>
      <c r="P219" s="1"/>
      <c r="Q219" s="1"/>
      <c r="R219" s="1"/>
      <c r="S219" s="1"/>
      <c r="T219" s="1"/>
      <c r="U219" s="1"/>
    </row>
    <row r="220" spans="2:21">
      <c r="B220" s="1"/>
      <c r="C220" s="1"/>
      <c r="D220" s="1"/>
      <c r="E220" s="1"/>
      <c r="F220" s="1"/>
      <c r="G220" s="1"/>
      <c r="H220" s="1"/>
      <c r="I220" s="1"/>
      <c r="J220" s="1"/>
      <c r="K220" s="1"/>
      <c r="L220" s="1"/>
      <c r="M220" s="1"/>
      <c r="N220" s="1"/>
      <c r="O220" s="1"/>
      <c r="P220" s="1"/>
      <c r="Q220" s="1"/>
      <c r="R220" s="1"/>
      <c r="S220" s="1"/>
      <c r="T220" s="1"/>
      <c r="U220" s="1"/>
    </row>
    <row r="221" spans="2:21">
      <c r="B221" s="1"/>
      <c r="C221" s="1"/>
      <c r="D221" s="1"/>
      <c r="E221" s="1"/>
      <c r="F221" s="1"/>
      <c r="G221" s="1"/>
      <c r="H221" s="1"/>
      <c r="I221" s="1"/>
      <c r="J221" s="1"/>
      <c r="K221" s="1"/>
      <c r="L221" s="1"/>
      <c r="M221" s="1"/>
      <c r="N221" s="1"/>
      <c r="O221" s="1"/>
      <c r="P221" s="1"/>
      <c r="Q221" s="1"/>
      <c r="R221" s="1"/>
      <c r="S221" s="1"/>
      <c r="T221" s="1"/>
      <c r="U221" s="1"/>
    </row>
    <row r="222" spans="2:21">
      <c r="C222" s="1"/>
      <c r="D222" s="1"/>
      <c r="E222" s="1"/>
      <c r="F222" s="1"/>
      <c r="G222" s="1"/>
      <c r="H222" s="1"/>
      <c r="I222" s="1"/>
      <c r="J222" s="1"/>
      <c r="K222" s="1"/>
      <c r="L222" s="1"/>
      <c r="M222" s="1"/>
      <c r="N222" s="1"/>
      <c r="O222" s="1"/>
      <c r="P222" s="1"/>
      <c r="Q222" s="1"/>
      <c r="R222" s="1"/>
      <c r="S222" s="1"/>
      <c r="T222" s="1"/>
      <c r="U222" s="1"/>
    </row>
    <row r="223" spans="2:21">
      <c r="E223" s="1"/>
      <c r="F223" s="1"/>
      <c r="G223" s="1"/>
      <c r="H223" s="1"/>
      <c r="I223" s="1"/>
      <c r="J223" s="1"/>
      <c r="K223" s="1"/>
      <c r="L223" s="1"/>
      <c r="M223" s="1"/>
      <c r="N223" s="1"/>
      <c r="O223" s="1"/>
      <c r="R223" s="1"/>
      <c r="S223" s="1"/>
      <c r="T223" s="1"/>
      <c r="U223" s="1"/>
    </row>
    <row r="224" spans="2:21">
      <c r="E224" s="1"/>
      <c r="F224" s="1"/>
      <c r="G224" s="1"/>
      <c r="H224" s="1"/>
      <c r="I224" s="1"/>
      <c r="J224" s="1"/>
      <c r="K224" s="1"/>
      <c r="L224" s="1"/>
      <c r="M224" s="1"/>
      <c r="N224" s="1"/>
      <c r="O224" s="1"/>
      <c r="R224" s="1"/>
      <c r="S224" s="1"/>
      <c r="T224" s="1"/>
      <c r="U224" s="1"/>
    </row>
    <row r="225" spans="5:22">
      <c r="E225" s="1"/>
      <c r="F225" s="1"/>
      <c r="G225" s="1"/>
      <c r="H225" s="1"/>
      <c r="I225" s="1"/>
      <c r="J225" s="1"/>
      <c r="K225" s="1"/>
      <c r="L225" s="1"/>
      <c r="M225" s="1"/>
      <c r="N225" s="1"/>
      <c r="O225" s="1"/>
      <c r="R225" s="1"/>
      <c r="S225" s="1"/>
      <c r="T225" s="1"/>
      <c r="U225" s="1"/>
    </row>
    <row r="226" spans="5:22">
      <c r="E226" s="1"/>
      <c r="F226" s="1"/>
      <c r="G226" s="1"/>
      <c r="H226" s="1"/>
      <c r="I226" s="1"/>
      <c r="J226" s="1"/>
      <c r="K226" s="1"/>
      <c r="L226" s="1"/>
      <c r="M226" s="1"/>
      <c r="N226" s="1"/>
      <c r="O226" s="1"/>
      <c r="R226" s="1"/>
      <c r="S226" s="1"/>
      <c r="T226" s="1"/>
      <c r="U226" s="1"/>
    </row>
    <row r="227" spans="5:22">
      <c r="O227" s="1"/>
      <c r="R227" s="1"/>
      <c r="S227" s="1"/>
      <c r="T227" s="1"/>
      <c r="U227" s="1"/>
    </row>
    <row r="228" spans="5:22">
      <c r="O228" s="1"/>
      <c r="R228" s="1"/>
      <c r="S228" s="1"/>
      <c r="T228" s="1"/>
      <c r="U228" s="1"/>
      <c r="V228" s="1"/>
    </row>
    <row r="229" spans="5:22">
      <c r="O229" s="1"/>
      <c r="R229" s="1"/>
      <c r="S229" s="1"/>
      <c r="T229" s="1"/>
      <c r="U229" s="1"/>
    </row>
    <row r="230" spans="5:22">
      <c r="S230" s="1"/>
      <c r="T230" s="1"/>
      <c r="U230" s="1"/>
    </row>
    <row r="231" spans="5:22">
      <c r="S231" s="1"/>
      <c r="T231" s="1"/>
      <c r="U231" s="1"/>
    </row>
    <row r="232" spans="5:22">
      <c r="S232" s="1"/>
      <c r="T232" s="1"/>
      <c r="U232" s="1"/>
    </row>
    <row r="233" spans="5:22">
      <c r="S233" s="1"/>
      <c r="T233" s="1"/>
      <c r="U233" s="1"/>
    </row>
    <row r="234" spans="5:22">
      <c r="S234" s="1"/>
      <c r="T234" s="1"/>
      <c r="U234" s="1"/>
    </row>
    <row r="235" spans="5:22">
      <c r="S235" s="1"/>
      <c r="T235" s="1"/>
      <c r="U235" s="1"/>
    </row>
    <row r="236" spans="5:22">
      <c r="S236" s="1"/>
      <c r="T236" s="1"/>
      <c r="U236" s="1"/>
    </row>
    <row r="237" spans="5:22">
      <c r="S237" t="s">
        <v>7</v>
      </c>
    </row>
    <row r="238" spans="5:22">
      <c r="S238" t="s">
        <v>7</v>
      </c>
    </row>
  </sheetData>
  <sheetProtection password="C6BD" sheet="1" objects="1" scenarios="1"/>
  <mergeCells count="209">
    <mergeCell ref="S156:W156"/>
    <mergeCell ref="S155:W155"/>
    <mergeCell ref="S159:W159"/>
    <mergeCell ref="S158:W158"/>
    <mergeCell ref="E80:P81"/>
    <mergeCell ref="E86:P87"/>
    <mergeCell ref="E84:P85"/>
    <mergeCell ref="E82:P83"/>
    <mergeCell ref="E78:P79"/>
    <mergeCell ref="S168:W168"/>
    <mergeCell ref="S172:W172"/>
    <mergeCell ref="S171:W171"/>
    <mergeCell ref="S170:W170"/>
    <mergeCell ref="S166:W166"/>
    <mergeCell ref="S165:W165"/>
    <mergeCell ref="S164:W164"/>
    <mergeCell ref="S129:W129"/>
    <mergeCell ref="S124:W124"/>
    <mergeCell ref="S142:W142"/>
    <mergeCell ref="S125:W125"/>
    <mergeCell ref="S127:W127"/>
    <mergeCell ref="S126:W126"/>
    <mergeCell ref="S147:W147"/>
    <mergeCell ref="S131:W131"/>
    <mergeCell ref="S130:W130"/>
    <mergeCell ref="S157:W157"/>
    <mergeCell ref="E183:L183"/>
    <mergeCell ref="S196:W196"/>
    <mergeCell ref="S194:W194"/>
    <mergeCell ref="S184:W184"/>
    <mergeCell ref="S183:W183"/>
    <mergeCell ref="S182:W182"/>
    <mergeCell ref="S181:W181"/>
    <mergeCell ref="S180:W180"/>
    <mergeCell ref="S169:W169"/>
    <mergeCell ref="F176:H176"/>
    <mergeCell ref="E172:J172"/>
    <mergeCell ref="E192:J192"/>
    <mergeCell ref="F194:H194"/>
    <mergeCell ref="E181:G181"/>
    <mergeCell ref="S195:W195"/>
    <mergeCell ref="E28:Q29"/>
    <mergeCell ref="E193:K193"/>
    <mergeCell ref="E19:O19"/>
    <mergeCell ref="T13:U15"/>
    <mergeCell ref="S187:W187"/>
    <mergeCell ref="S188:W188"/>
    <mergeCell ref="S189:W189"/>
    <mergeCell ref="S190:W190"/>
    <mergeCell ref="S191:W191"/>
    <mergeCell ref="S192:W192"/>
    <mergeCell ref="S193:W193"/>
    <mergeCell ref="F169:H169"/>
    <mergeCell ref="F190:H190"/>
    <mergeCell ref="E173:J173"/>
    <mergeCell ref="E174:J174"/>
    <mergeCell ref="F178:H178"/>
    <mergeCell ref="E96:G96"/>
    <mergeCell ref="L104:O104"/>
    <mergeCell ref="H104:J104"/>
    <mergeCell ref="E188:J188"/>
    <mergeCell ref="E26:Q26"/>
    <mergeCell ref="E27:P27"/>
    <mergeCell ref="E182:M182"/>
    <mergeCell ref="F185:H185"/>
    <mergeCell ref="E45:P45"/>
    <mergeCell ref="S167:W167"/>
    <mergeCell ref="S2:V3"/>
    <mergeCell ref="E47:J47"/>
    <mergeCell ref="H2:J4"/>
    <mergeCell ref="K2:P4"/>
    <mergeCell ref="H8:J8"/>
    <mergeCell ref="K8:L8"/>
    <mergeCell ref="H6:J6"/>
    <mergeCell ref="K6:P6"/>
    <mergeCell ref="E31:K31"/>
    <mergeCell ref="E18:O18"/>
    <mergeCell ref="E22:O22"/>
    <mergeCell ref="B10:F11"/>
    <mergeCell ref="E34:J34"/>
    <mergeCell ref="M8:P8"/>
    <mergeCell ref="G11:L11"/>
    <mergeCell ref="T23:U26"/>
    <mergeCell ref="G10:L10"/>
    <mergeCell ref="T5:U6"/>
    <mergeCell ref="T16:U18"/>
    <mergeCell ref="T11:U12"/>
    <mergeCell ref="S9:V10"/>
    <mergeCell ref="D21:O21"/>
    <mergeCell ref="S92:W92"/>
    <mergeCell ref="B15:G15"/>
    <mergeCell ref="S114:W114"/>
    <mergeCell ref="S113:W113"/>
    <mergeCell ref="S112:W112"/>
    <mergeCell ref="S111:W111"/>
    <mergeCell ref="F177:H177"/>
    <mergeCell ref="F98:H98"/>
    <mergeCell ref="E48:P48"/>
    <mergeCell ref="E50:P50"/>
    <mergeCell ref="B17:G17"/>
    <mergeCell ref="T19:U22"/>
    <mergeCell ref="E24:Q24"/>
    <mergeCell ref="E25:P25"/>
    <mergeCell ref="E20:O20"/>
    <mergeCell ref="E32:P33"/>
    <mergeCell ref="E52:J52"/>
    <mergeCell ref="S94:W94"/>
    <mergeCell ref="S93:W93"/>
    <mergeCell ref="S101:W101"/>
    <mergeCell ref="S91:W91"/>
    <mergeCell ref="K102:P103"/>
    <mergeCell ref="E74:K74"/>
    <mergeCell ref="E76:P77"/>
    <mergeCell ref="S150:W150"/>
    <mergeCell ref="S122:W122"/>
    <mergeCell ref="S185:W185"/>
    <mergeCell ref="S186:W186"/>
    <mergeCell ref="S179:W179"/>
    <mergeCell ref="S178:W178"/>
    <mergeCell ref="S177:W177"/>
    <mergeCell ref="S176:W176"/>
    <mergeCell ref="S175:W175"/>
    <mergeCell ref="S174:W174"/>
    <mergeCell ref="S173:W173"/>
    <mergeCell ref="S151:W151"/>
    <mergeCell ref="S140:W140"/>
    <mergeCell ref="S139:W139"/>
    <mergeCell ref="S138:W138"/>
    <mergeCell ref="S137:W137"/>
    <mergeCell ref="S136:W136"/>
    <mergeCell ref="S154:W154"/>
    <mergeCell ref="S153:W153"/>
    <mergeCell ref="S152:W152"/>
    <mergeCell ref="S163:W163"/>
    <mergeCell ref="S162:W162"/>
    <mergeCell ref="S161:W161"/>
    <mergeCell ref="S160:W160"/>
    <mergeCell ref="E107:J107"/>
    <mergeCell ref="F162:H162"/>
    <mergeCell ref="E151:J151"/>
    <mergeCell ref="E152:J152"/>
    <mergeCell ref="E159:J159"/>
    <mergeCell ref="F155:H155"/>
    <mergeCell ref="E90:F90"/>
    <mergeCell ref="E49:J49"/>
    <mergeCell ref="L94:O94"/>
    <mergeCell ref="E114:F114"/>
    <mergeCell ref="E118:G118"/>
    <mergeCell ref="E102:J102"/>
    <mergeCell ref="E112:F112"/>
    <mergeCell ref="E119:G119"/>
    <mergeCell ref="E54:P55"/>
    <mergeCell ref="E56:P57"/>
    <mergeCell ref="E58:P59"/>
    <mergeCell ref="E68:P69"/>
    <mergeCell ref="E72:P73"/>
    <mergeCell ref="E62:P63"/>
    <mergeCell ref="E64:P65"/>
    <mergeCell ref="E66:P67"/>
    <mergeCell ref="E60:P61"/>
    <mergeCell ref="E70:P71"/>
    <mergeCell ref="S118:W118"/>
    <mergeCell ref="S117:W117"/>
    <mergeCell ref="E167:J167"/>
    <mergeCell ref="E166:J166"/>
    <mergeCell ref="E165:J165"/>
    <mergeCell ref="E160:J160"/>
    <mergeCell ref="E158:J158"/>
    <mergeCell ref="E142:N142"/>
    <mergeCell ref="E110:J110"/>
    <mergeCell ref="S121:W121"/>
    <mergeCell ref="S120:W120"/>
    <mergeCell ref="S119:W119"/>
    <mergeCell ref="S123:W123"/>
    <mergeCell ref="S148:W148"/>
    <mergeCell ref="S149:W149"/>
    <mergeCell ref="S135:W135"/>
    <mergeCell ref="S134:W134"/>
    <mergeCell ref="S133:W133"/>
    <mergeCell ref="S132:W132"/>
    <mergeCell ref="S128:W128"/>
    <mergeCell ref="E146:J146"/>
    <mergeCell ref="S146:W146"/>
    <mergeCell ref="L120:O120"/>
    <mergeCell ref="S141:W141"/>
    <mergeCell ref="S97:W97"/>
    <mergeCell ref="S96:W96"/>
    <mergeCell ref="S95:W95"/>
    <mergeCell ref="S109:W109"/>
    <mergeCell ref="E153:J153"/>
    <mergeCell ref="S107:W107"/>
    <mergeCell ref="S106:W106"/>
    <mergeCell ref="S105:W105"/>
    <mergeCell ref="S104:W104"/>
    <mergeCell ref="S103:W103"/>
    <mergeCell ref="S102:W102"/>
    <mergeCell ref="S100:W100"/>
    <mergeCell ref="S116:W116"/>
    <mergeCell ref="S115:W115"/>
    <mergeCell ref="S110:W110"/>
    <mergeCell ref="S99:W99"/>
    <mergeCell ref="S98:W98"/>
    <mergeCell ref="S143:W143"/>
    <mergeCell ref="E144:J144"/>
    <mergeCell ref="S144:W144"/>
    <mergeCell ref="E145:J145"/>
    <mergeCell ref="S145:W145"/>
    <mergeCell ref="S108:W108"/>
    <mergeCell ref="F148:H148"/>
  </mergeCells>
  <dataValidations count="1">
    <dataValidation type="list" allowBlank="1" showInputMessage="1" showErrorMessage="1" sqref="R31">
      <formula1>$R$32:$R$47</formula1>
    </dataValidation>
  </dataValidations>
  <hyperlinks>
    <hyperlink ref="B10:F11" r:id="rId1" display="Notice :"/>
    <hyperlink ref="T11:U12" r:id="rId2" display="- Notre FAQ sur le sujet (lien ici)"/>
    <hyperlink ref="T16:U18" r:id="rId3" display="- Le décret 2021-422 du 10/04/2021 (lien ici)"/>
    <hyperlink ref="T23:U26" r:id="rId4" display="- Notion de fermeture administrative définie au décret 2020-1310 du 29/10/2020 (lien ici)"/>
    <hyperlink ref="T13:U15" r:id="rId5" display="- Le décret 2020-371 MAJ 12/04/2021 (lien ici)"/>
    <hyperlink ref="T19:U22" r:id="rId6" display="- Notre résumé des décrets sur le fond de solidarité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33</xdr:row>
                    <xdr:rowOff>0</xdr:rowOff>
                  </from>
                  <to>
                    <xdr:col>9</xdr:col>
                    <xdr:colOff>542925</xdr:colOff>
                    <xdr:row>34</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30</xdr:row>
                    <xdr:rowOff>9525</xdr:rowOff>
                  </from>
                  <to>
                    <xdr:col>9</xdr:col>
                    <xdr:colOff>542925</xdr:colOff>
                    <xdr:row>31</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36</xdr:row>
                    <xdr:rowOff>180975</xdr:rowOff>
                  </from>
                  <to>
                    <xdr:col>12</xdr:col>
                    <xdr:colOff>800100</xdr:colOff>
                    <xdr:row>38</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37</xdr:row>
                    <xdr:rowOff>9525</xdr:rowOff>
                  </from>
                  <to>
                    <xdr:col>15</xdr:col>
                    <xdr:colOff>790575</xdr:colOff>
                    <xdr:row>38</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48</xdr:row>
                    <xdr:rowOff>9525</xdr:rowOff>
                  </from>
                  <to>
                    <xdr:col>9</xdr:col>
                    <xdr:colOff>571500</xdr:colOff>
                    <xdr:row>48</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53</xdr:row>
                    <xdr:rowOff>9525</xdr:rowOff>
                  </from>
                  <to>
                    <xdr:col>9</xdr:col>
                    <xdr:colOff>571500</xdr:colOff>
                    <xdr:row>53</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mc:AlternateContent xmlns:mc="http://schemas.openxmlformats.org/markup-compatibility/2006">
          <mc:Choice Requires="x14">
            <control shapeId="2066" r:id="rId22" name="Check Box 18">
              <controlPr defaultSize="0" autoFill="0" autoLine="0" autoPict="0" altText="Interdiction d'accueil du public (du ... au ...)">
                <anchor moveWithCells="1">
                  <from>
                    <xdr:col>3</xdr:col>
                    <xdr:colOff>19050</xdr:colOff>
                    <xdr:row>55</xdr:row>
                    <xdr:rowOff>9525</xdr:rowOff>
                  </from>
                  <to>
                    <xdr:col>9</xdr:col>
                    <xdr:colOff>571500</xdr:colOff>
                    <xdr:row>55</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ltText="Interdiction d'accueil du public (du ... au ...)">
                <anchor moveWithCells="1">
                  <from>
                    <xdr:col>3</xdr:col>
                    <xdr:colOff>19050</xdr:colOff>
                    <xdr:row>57</xdr:row>
                    <xdr:rowOff>9525</xdr:rowOff>
                  </from>
                  <to>
                    <xdr:col>9</xdr:col>
                    <xdr:colOff>571500</xdr:colOff>
                    <xdr:row>57</xdr:row>
                    <xdr:rowOff>180975</xdr:rowOff>
                  </to>
                </anchor>
              </controlPr>
            </control>
          </mc:Choice>
        </mc:AlternateContent>
        <mc:AlternateContent xmlns:mc="http://schemas.openxmlformats.org/markup-compatibility/2006">
          <mc:Choice Requires="x14">
            <control shapeId="2069" r:id="rId24" name="Check Box 21">
              <controlPr defaultSize="0" autoFill="0" autoLine="0" autoPict="0" altText="Interdiction d'accueil du public (du ... au ...)">
                <anchor moveWithCells="1">
                  <from>
                    <xdr:col>3</xdr:col>
                    <xdr:colOff>19050</xdr:colOff>
                    <xdr:row>59</xdr:row>
                    <xdr:rowOff>9525</xdr:rowOff>
                  </from>
                  <to>
                    <xdr:col>9</xdr:col>
                    <xdr:colOff>571500</xdr:colOff>
                    <xdr:row>59</xdr:row>
                    <xdr:rowOff>180975</xdr:rowOff>
                  </to>
                </anchor>
              </controlPr>
            </control>
          </mc:Choice>
        </mc:AlternateContent>
        <mc:AlternateContent xmlns:mc="http://schemas.openxmlformats.org/markup-compatibility/2006">
          <mc:Choice Requires="x14">
            <control shapeId="2070" r:id="rId25" name="Check Box 22">
              <controlPr defaultSize="0" autoFill="0" autoLine="0" autoPict="0" altText="Interdiction d'accueil du public (du ... au ...)">
                <anchor moveWithCells="1">
                  <from>
                    <xdr:col>3</xdr:col>
                    <xdr:colOff>19050</xdr:colOff>
                    <xdr:row>61</xdr:row>
                    <xdr:rowOff>9525</xdr:rowOff>
                  </from>
                  <to>
                    <xdr:col>9</xdr:col>
                    <xdr:colOff>571500</xdr:colOff>
                    <xdr:row>61</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19050</xdr:colOff>
                    <xdr:row>27</xdr:row>
                    <xdr:rowOff>9525</xdr:rowOff>
                  </from>
                  <to>
                    <xdr:col>10</xdr:col>
                    <xdr:colOff>47625</xdr:colOff>
                    <xdr:row>28</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ltText="Interdiction d'accueil du public (du ... au ...)">
                <anchor moveWithCells="1">
                  <from>
                    <xdr:col>3</xdr:col>
                    <xdr:colOff>19050</xdr:colOff>
                    <xdr:row>63</xdr:row>
                    <xdr:rowOff>9525</xdr:rowOff>
                  </from>
                  <to>
                    <xdr:col>9</xdr:col>
                    <xdr:colOff>571500</xdr:colOff>
                    <xdr:row>63</xdr:row>
                    <xdr:rowOff>180975</xdr:rowOff>
                  </to>
                </anchor>
              </controlPr>
            </control>
          </mc:Choice>
        </mc:AlternateContent>
        <mc:AlternateContent xmlns:mc="http://schemas.openxmlformats.org/markup-compatibility/2006">
          <mc:Choice Requires="x14">
            <control shapeId="2073" r:id="rId28" name="Check Box 25">
              <controlPr defaultSize="0" autoFill="0" autoLine="0" autoPict="0" altText="Interdiction d'accueil du public (du ... au ...)">
                <anchor moveWithCells="1">
                  <from>
                    <xdr:col>3</xdr:col>
                    <xdr:colOff>19050</xdr:colOff>
                    <xdr:row>65</xdr:row>
                    <xdr:rowOff>9525</xdr:rowOff>
                  </from>
                  <to>
                    <xdr:col>9</xdr:col>
                    <xdr:colOff>571500</xdr:colOff>
                    <xdr:row>65</xdr:row>
                    <xdr:rowOff>180975</xdr:rowOff>
                  </to>
                </anchor>
              </controlPr>
            </control>
          </mc:Choice>
        </mc:AlternateContent>
        <mc:AlternateContent xmlns:mc="http://schemas.openxmlformats.org/markup-compatibility/2006">
          <mc:Choice Requires="x14">
            <control shapeId="2074" r:id="rId29" name="Check Box 26">
              <controlPr defaultSize="0" autoFill="0" autoLine="0" autoPict="0" altText="Interdiction d'accueil du public (du ... au ...)">
                <anchor moveWithCells="1">
                  <from>
                    <xdr:col>3</xdr:col>
                    <xdr:colOff>19050</xdr:colOff>
                    <xdr:row>67</xdr:row>
                    <xdr:rowOff>9525</xdr:rowOff>
                  </from>
                  <to>
                    <xdr:col>9</xdr:col>
                    <xdr:colOff>571500</xdr:colOff>
                    <xdr:row>67</xdr:row>
                    <xdr:rowOff>180975</xdr:rowOff>
                  </to>
                </anchor>
              </controlPr>
            </control>
          </mc:Choice>
        </mc:AlternateContent>
        <mc:AlternateContent xmlns:mc="http://schemas.openxmlformats.org/markup-compatibility/2006">
          <mc:Choice Requires="x14">
            <control shapeId="2075" r:id="rId30" name="Check Box 27">
              <controlPr defaultSize="0" autoFill="0" autoLine="0" autoPict="0" altText="Interdiction d'accueil du public (du ... au ...)">
                <anchor moveWithCells="1">
                  <from>
                    <xdr:col>3</xdr:col>
                    <xdr:colOff>19050</xdr:colOff>
                    <xdr:row>71</xdr:row>
                    <xdr:rowOff>9525</xdr:rowOff>
                  </from>
                  <to>
                    <xdr:col>9</xdr:col>
                    <xdr:colOff>571500</xdr:colOff>
                    <xdr:row>71</xdr:row>
                    <xdr:rowOff>180975</xdr:rowOff>
                  </to>
                </anchor>
              </controlPr>
            </control>
          </mc:Choice>
        </mc:AlternateContent>
        <mc:AlternateContent xmlns:mc="http://schemas.openxmlformats.org/markup-compatibility/2006">
          <mc:Choice Requires="x14">
            <control shapeId="2077" r:id="rId31" name="Check Box 29">
              <controlPr defaultSize="0" autoFill="0" autoLine="0" autoPict="0" altText="Interdiction d'accueil du public (du ... au ...)">
                <anchor moveWithCells="1">
                  <from>
                    <xdr:col>3</xdr:col>
                    <xdr:colOff>19050</xdr:colOff>
                    <xdr:row>69</xdr:row>
                    <xdr:rowOff>9525</xdr:rowOff>
                  </from>
                  <to>
                    <xdr:col>9</xdr:col>
                    <xdr:colOff>571500</xdr:colOff>
                    <xdr:row>69</xdr:row>
                    <xdr:rowOff>180975</xdr:rowOff>
                  </to>
                </anchor>
              </controlPr>
            </control>
          </mc:Choice>
        </mc:AlternateContent>
        <mc:AlternateContent xmlns:mc="http://schemas.openxmlformats.org/markup-compatibility/2006">
          <mc:Choice Requires="x14">
            <control shapeId="2078" r:id="rId32" name="Check Box 30">
              <controlPr defaultSize="0" autoFill="0" autoLine="0" autoPict="0" altText="Interdiction d'accueil du public (du ... au ...)">
                <anchor moveWithCells="1">
                  <from>
                    <xdr:col>3</xdr:col>
                    <xdr:colOff>19050</xdr:colOff>
                    <xdr:row>73</xdr:row>
                    <xdr:rowOff>9525</xdr:rowOff>
                  </from>
                  <to>
                    <xdr:col>9</xdr:col>
                    <xdr:colOff>571500</xdr:colOff>
                    <xdr:row>73</xdr:row>
                    <xdr:rowOff>180975</xdr:rowOff>
                  </to>
                </anchor>
              </controlPr>
            </control>
          </mc:Choice>
        </mc:AlternateContent>
        <mc:AlternateContent xmlns:mc="http://schemas.openxmlformats.org/markup-compatibility/2006">
          <mc:Choice Requires="x14">
            <control shapeId="2080" r:id="rId33" name="Check Box 32">
              <controlPr defaultSize="0" autoFill="0" autoLine="0" autoPict="0" altText="Interdiction d'accueil du public (du ... au ...)">
                <anchor moveWithCells="1">
                  <from>
                    <xdr:col>3</xdr:col>
                    <xdr:colOff>19050</xdr:colOff>
                    <xdr:row>75</xdr:row>
                    <xdr:rowOff>9525</xdr:rowOff>
                  </from>
                  <to>
                    <xdr:col>9</xdr:col>
                    <xdr:colOff>571500</xdr:colOff>
                    <xdr:row>75</xdr:row>
                    <xdr:rowOff>180975</xdr:rowOff>
                  </to>
                </anchor>
              </controlPr>
            </control>
          </mc:Choice>
        </mc:AlternateContent>
        <mc:AlternateContent xmlns:mc="http://schemas.openxmlformats.org/markup-compatibility/2006">
          <mc:Choice Requires="x14">
            <control shapeId="2081" r:id="rId34" name="Check Box 33">
              <controlPr defaultSize="0" autoFill="0" autoLine="0" autoPict="0" altText="Interdiction d'accueil du public (du ... au ...)">
                <anchor moveWithCells="1">
                  <from>
                    <xdr:col>3</xdr:col>
                    <xdr:colOff>19050</xdr:colOff>
                    <xdr:row>79</xdr:row>
                    <xdr:rowOff>9525</xdr:rowOff>
                  </from>
                  <to>
                    <xdr:col>9</xdr:col>
                    <xdr:colOff>571500</xdr:colOff>
                    <xdr:row>79</xdr:row>
                    <xdr:rowOff>180975</xdr:rowOff>
                  </to>
                </anchor>
              </controlPr>
            </control>
          </mc:Choice>
        </mc:AlternateContent>
        <mc:AlternateContent xmlns:mc="http://schemas.openxmlformats.org/markup-compatibility/2006">
          <mc:Choice Requires="x14">
            <control shapeId="2082" r:id="rId35" name="Check Box 34">
              <controlPr defaultSize="0" autoFill="0" autoLine="0" autoPict="0" altText="Interdiction d'accueil du public (du ... au ...)">
                <anchor moveWithCells="1">
                  <from>
                    <xdr:col>3</xdr:col>
                    <xdr:colOff>19050</xdr:colOff>
                    <xdr:row>77</xdr:row>
                    <xdr:rowOff>9525</xdr:rowOff>
                  </from>
                  <to>
                    <xdr:col>9</xdr:col>
                    <xdr:colOff>571500</xdr:colOff>
                    <xdr:row>77</xdr:row>
                    <xdr:rowOff>180975</xdr:rowOff>
                  </to>
                </anchor>
              </controlPr>
            </control>
          </mc:Choice>
        </mc:AlternateContent>
        <mc:AlternateContent xmlns:mc="http://schemas.openxmlformats.org/markup-compatibility/2006">
          <mc:Choice Requires="x14">
            <control shapeId="2083" r:id="rId36" name="Check Box 35">
              <controlPr defaultSize="0" autoFill="0" autoLine="0" autoPict="0" altText="Interdiction d'accueil du public (du ... au ...)">
                <anchor moveWithCells="1">
                  <from>
                    <xdr:col>3</xdr:col>
                    <xdr:colOff>19050</xdr:colOff>
                    <xdr:row>83</xdr:row>
                    <xdr:rowOff>9525</xdr:rowOff>
                  </from>
                  <to>
                    <xdr:col>9</xdr:col>
                    <xdr:colOff>571500</xdr:colOff>
                    <xdr:row>83</xdr:row>
                    <xdr:rowOff>180975</xdr:rowOff>
                  </to>
                </anchor>
              </controlPr>
            </control>
          </mc:Choice>
        </mc:AlternateContent>
        <mc:AlternateContent xmlns:mc="http://schemas.openxmlformats.org/markup-compatibility/2006">
          <mc:Choice Requires="x14">
            <control shapeId="2084" r:id="rId37" name="Check Box 36">
              <controlPr defaultSize="0" autoFill="0" autoLine="0" autoPict="0" altText="Interdiction d'accueil du public (du ... au ...)">
                <anchor moveWithCells="1">
                  <from>
                    <xdr:col>3</xdr:col>
                    <xdr:colOff>19050</xdr:colOff>
                    <xdr:row>85</xdr:row>
                    <xdr:rowOff>9525</xdr:rowOff>
                  </from>
                  <to>
                    <xdr:col>9</xdr:col>
                    <xdr:colOff>571500</xdr:colOff>
                    <xdr:row>85</xdr:row>
                    <xdr:rowOff>180975</xdr:rowOff>
                  </to>
                </anchor>
              </controlPr>
            </control>
          </mc:Choice>
        </mc:AlternateContent>
        <mc:AlternateContent xmlns:mc="http://schemas.openxmlformats.org/markup-compatibility/2006">
          <mc:Choice Requires="x14">
            <control shapeId="2086" r:id="rId38" name="Check Box 38">
              <controlPr defaultSize="0" autoFill="0" autoLine="0" autoPict="0" altText="Interdiction d'accueil du public (du ... au ...)">
                <anchor moveWithCells="1">
                  <from>
                    <xdr:col>3</xdr:col>
                    <xdr:colOff>19050</xdr:colOff>
                    <xdr:row>81</xdr:row>
                    <xdr:rowOff>9525</xdr:rowOff>
                  </from>
                  <to>
                    <xdr:col>9</xdr:col>
                    <xdr:colOff>571500</xdr:colOff>
                    <xdr:row>81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725"/>
  <sheetViews>
    <sheetView showGridLines="0" topLeftCell="A595"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548" t="s">
        <v>125</v>
      </c>
      <c r="G3" s="548"/>
      <c r="H3" s="548"/>
      <c r="I3" s="548"/>
      <c r="J3" s="548"/>
      <c r="K3" s="548"/>
      <c r="L3" s="548"/>
      <c r="M3" s="548"/>
      <c r="N3" s="548"/>
      <c r="O3" s="548"/>
      <c r="R3" s="109"/>
    </row>
    <row r="4" spans="2:34" ht="15" customHeight="1">
      <c r="B4" s="77"/>
      <c r="C4" s="77"/>
      <c r="D4" s="77"/>
      <c r="E4" s="77"/>
      <c r="F4" s="548"/>
      <c r="G4" s="548"/>
      <c r="H4" s="548"/>
      <c r="I4" s="548"/>
      <c r="J4" s="548"/>
      <c r="K4" s="548"/>
      <c r="L4" s="548"/>
      <c r="M4" s="548"/>
      <c r="N4" s="548"/>
      <c r="O4" s="548"/>
      <c r="P4" s="99"/>
    </row>
    <row r="5" spans="2:34" ht="15" customHeight="1">
      <c r="B5" s="77"/>
      <c r="C5" s="77"/>
      <c r="D5" s="77"/>
      <c r="E5" s="77"/>
      <c r="F5" s="548"/>
      <c r="G5" s="548"/>
      <c r="H5" s="548"/>
      <c r="I5" s="548"/>
      <c r="J5" s="548"/>
      <c r="K5" s="548"/>
      <c r="L5" s="548"/>
      <c r="M5" s="548"/>
      <c r="N5" s="548"/>
      <c r="O5" s="548"/>
    </row>
    <row r="6" spans="2:34" ht="15" customHeight="1">
      <c r="B6" s="77"/>
      <c r="C6" s="77"/>
      <c r="D6" s="77"/>
      <c r="E6" s="77"/>
      <c r="F6" s="548"/>
      <c r="G6" s="548"/>
      <c r="H6" s="548"/>
      <c r="I6" s="548"/>
      <c r="J6" s="548"/>
      <c r="K6" s="548"/>
      <c r="L6" s="548"/>
      <c r="M6" s="548"/>
      <c r="N6" s="548"/>
      <c r="O6" s="548"/>
    </row>
    <row r="7" spans="2:34">
      <c r="B7" s="9"/>
      <c r="C7" s="9"/>
      <c r="D7" s="9"/>
      <c r="E7" s="9"/>
      <c r="F7" s="9"/>
      <c r="G7" s="108"/>
      <c r="H7" s="9"/>
      <c r="I7" s="9"/>
      <c r="J7" s="9"/>
      <c r="K7" s="9"/>
      <c r="L7" s="9"/>
      <c r="M7" s="9"/>
      <c r="N7" s="9"/>
    </row>
    <row r="8" spans="2:34" ht="15.75">
      <c r="B8" s="549" t="s">
        <v>34</v>
      </c>
      <c r="C8" s="549"/>
      <c r="D8" s="549"/>
      <c r="E8" s="549"/>
      <c r="F8" s="549"/>
      <c r="G8" s="549"/>
      <c r="H8" s="549"/>
      <c r="I8" s="549"/>
      <c r="J8" s="549"/>
      <c r="K8" s="549"/>
      <c r="L8" s="549"/>
      <c r="M8" s="549"/>
      <c r="N8" s="549"/>
      <c r="O8" s="549"/>
    </row>
    <row r="9" spans="2:34" ht="15" customHeight="1">
      <c r="B9" s="550" t="s">
        <v>33</v>
      </c>
      <c r="C9" s="550"/>
      <c r="D9" s="550"/>
      <c r="E9" s="550"/>
      <c r="F9" s="550"/>
      <c r="G9" s="550"/>
      <c r="H9" s="550"/>
      <c r="I9" s="550"/>
      <c r="J9" s="550"/>
      <c r="K9" s="550"/>
      <c r="L9" s="550"/>
      <c r="M9" s="550"/>
      <c r="N9" s="550"/>
      <c r="O9" s="550"/>
    </row>
    <row r="10" spans="2:34" ht="15" customHeight="1">
      <c r="B10" s="550"/>
      <c r="C10" s="550"/>
      <c r="D10" s="550"/>
      <c r="E10" s="550"/>
      <c r="F10" s="550"/>
      <c r="G10" s="550"/>
      <c r="H10" s="550"/>
      <c r="I10" s="550"/>
      <c r="J10" s="550"/>
      <c r="K10" s="550"/>
      <c r="L10" s="550"/>
      <c r="M10" s="550"/>
      <c r="N10" s="550"/>
      <c r="O10" s="550"/>
    </row>
    <row r="11" spans="2:34" ht="15.75">
      <c r="B11" s="549" t="s">
        <v>65</v>
      </c>
      <c r="C11" s="549"/>
      <c r="D11" s="549"/>
      <c r="E11" s="549"/>
      <c r="F11" s="549"/>
      <c r="G11" s="549"/>
      <c r="H11" s="549"/>
      <c r="I11" s="549"/>
      <c r="J11" s="549"/>
      <c r="K11" s="549"/>
      <c r="L11" s="549"/>
      <c r="M11" s="549"/>
      <c r="N11" s="549"/>
      <c r="O11" s="549"/>
      <c r="P11" s="99"/>
      <c r="Q11" s="99"/>
      <c r="R11" s="99"/>
      <c r="S11" s="99"/>
    </row>
    <row r="12" spans="2:34">
      <c r="R12" t="s">
        <v>7</v>
      </c>
    </row>
    <row r="13" spans="2:34">
      <c r="B13" s="413" t="s">
        <v>68</v>
      </c>
      <c r="C13" s="413"/>
      <c r="D13" s="413"/>
      <c r="E13" s="413"/>
      <c r="F13" s="413"/>
      <c r="G13" s="413"/>
      <c r="H13" s="413"/>
      <c r="I13" s="413"/>
      <c r="J13" s="413"/>
      <c r="K13" s="413"/>
      <c r="L13" s="413"/>
      <c r="M13" s="413"/>
      <c r="N13" s="413"/>
      <c r="O13" s="413"/>
      <c r="S13" s="109"/>
      <c r="T13" s="535" t="s">
        <v>32</v>
      </c>
      <c r="U13" s="535"/>
      <c r="V13" s="535"/>
      <c r="W13" s="535"/>
      <c r="X13" s="535"/>
      <c r="Y13" s="535"/>
      <c r="Z13" s="535"/>
      <c r="AA13" s="535"/>
      <c r="AB13" s="535"/>
      <c r="AC13" s="535"/>
      <c r="AD13" s="535"/>
      <c r="AE13" s="535"/>
      <c r="AF13" s="1"/>
      <c r="AG13" s="1"/>
      <c r="AH13" s="1"/>
    </row>
    <row r="14" spans="2:34" ht="16.5" customHeight="1">
      <c r="B14" s="218"/>
      <c r="C14" s="218"/>
      <c r="D14" s="218"/>
      <c r="E14" s="218"/>
      <c r="F14" s="218"/>
      <c r="G14" s="218"/>
      <c r="H14" s="218"/>
      <c r="I14" s="218"/>
      <c r="J14" s="218"/>
      <c r="K14" s="218"/>
      <c r="L14" s="218"/>
      <c r="M14" s="218"/>
      <c r="N14" s="218"/>
      <c r="O14" s="218"/>
      <c r="S14" s="109"/>
      <c r="T14" s="535"/>
      <c r="U14" s="535"/>
      <c r="V14" s="535"/>
      <c r="W14" s="535"/>
      <c r="X14" s="535"/>
      <c r="Y14" s="535"/>
      <c r="Z14" s="535"/>
      <c r="AA14" s="535"/>
      <c r="AB14" s="535"/>
      <c r="AC14" s="535"/>
      <c r="AD14" s="535"/>
      <c r="AE14" s="535"/>
      <c r="AF14" s="1"/>
      <c r="AG14" s="1"/>
      <c r="AH14" s="1"/>
    </row>
    <row r="15" spans="2:34" ht="15.75" thickBot="1">
      <c r="B15" s="223"/>
      <c r="C15" s="223"/>
      <c r="D15" s="223"/>
      <c r="E15" s="223"/>
      <c r="F15" s="223"/>
      <c r="G15" s="223"/>
      <c r="H15" s="223"/>
      <c r="I15" s="223"/>
      <c r="J15" s="223"/>
      <c r="K15" s="223"/>
      <c r="L15" s="223"/>
      <c r="M15" s="223"/>
      <c r="N15" s="223"/>
      <c r="O15" s="223"/>
      <c r="S15" s="109"/>
      <c r="T15" s="535"/>
      <c r="U15" s="535"/>
      <c r="V15" s="535"/>
      <c r="W15" s="535"/>
      <c r="X15" s="535"/>
      <c r="Y15" s="535"/>
      <c r="Z15" s="535"/>
      <c r="AA15" s="535"/>
      <c r="AB15" s="535"/>
      <c r="AC15" s="535"/>
      <c r="AD15" s="535"/>
      <c r="AE15" s="535"/>
      <c r="AF15" s="1"/>
      <c r="AG15" s="1"/>
      <c r="AH15" s="1"/>
    </row>
    <row r="16" spans="2:34" ht="15" customHeight="1">
      <c r="B16" s="533">
        <v>2020</v>
      </c>
      <c r="C16" s="533"/>
      <c r="D16" s="533"/>
      <c r="E16" s="533"/>
      <c r="F16" s="533"/>
      <c r="G16" s="533"/>
      <c r="H16" s="533"/>
      <c r="I16" s="533"/>
      <c r="J16" s="533"/>
      <c r="K16" s="533"/>
      <c r="L16" s="533"/>
      <c r="M16" s="533"/>
      <c r="N16" s="533"/>
      <c r="O16" s="533"/>
      <c r="S16" s="109"/>
      <c r="T16" s="535"/>
      <c r="U16" s="535"/>
      <c r="V16" s="535"/>
      <c r="W16" s="535"/>
      <c r="X16" s="535"/>
      <c r="Y16" s="535"/>
      <c r="Z16" s="535"/>
      <c r="AA16" s="535"/>
      <c r="AB16" s="535"/>
      <c r="AC16" s="535"/>
      <c r="AD16" s="535"/>
      <c r="AE16" s="535"/>
      <c r="AF16" s="1"/>
      <c r="AG16" s="1"/>
      <c r="AH16" s="1"/>
    </row>
    <row r="17" spans="2:34" ht="15.75" customHeight="1" thickBot="1">
      <c r="B17" s="534"/>
      <c r="C17" s="534"/>
      <c r="D17" s="534"/>
      <c r="E17" s="534"/>
      <c r="F17" s="534"/>
      <c r="G17" s="534"/>
      <c r="H17" s="534"/>
      <c r="I17" s="534"/>
      <c r="J17" s="534"/>
      <c r="K17" s="534"/>
      <c r="L17" s="534"/>
      <c r="M17" s="534"/>
      <c r="N17" s="534"/>
      <c r="O17" s="534"/>
      <c r="S17" s="109"/>
      <c r="T17" s="535"/>
      <c r="U17" s="535"/>
      <c r="V17" s="535"/>
      <c r="W17" s="535"/>
      <c r="X17" s="535"/>
      <c r="Y17" s="535"/>
      <c r="Z17" s="535"/>
      <c r="AA17" s="535"/>
      <c r="AB17" s="535"/>
      <c r="AC17" s="535"/>
      <c r="AD17" s="535"/>
      <c r="AE17" s="535"/>
      <c r="AF17" s="1"/>
      <c r="AG17" s="1"/>
      <c r="AH17" s="1"/>
    </row>
    <row r="18" spans="2:34">
      <c r="S18" s="109"/>
      <c r="T18" s="535"/>
      <c r="U18" s="535"/>
      <c r="V18" s="535"/>
      <c r="W18" s="535"/>
      <c r="X18" s="535"/>
      <c r="Y18" s="535"/>
      <c r="Z18" s="535"/>
      <c r="AA18" s="535"/>
      <c r="AB18" s="535"/>
      <c r="AC18" s="535"/>
      <c r="AD18" s="535"/>
      <c r="AE18" s="535"/>
      <c r="AF18" s="1"/>
      <c r="AG18" s="1"/>
      <c r="AH18" s="1"/>
    </row>
    <row r="19" spans="2:34">
      <c r="S19" s="109"/>
      <c r="T19" s="535"/>
      <c r="U19" s="535"/>
      <c r="V19" s="535"/>
      <c r="W19" s="535"/>
      <c r="X19" s="535"/>
      <c r="Y19" s="535"/>
      <c r="Z19" s="535"/>
      <c r="AA19" s="535"/>
      <c r="AB19" s="535"/>
      <c r="AC19" s="535"/>
      <c r="AD19" s="535"/>
      <c r="AE19" s="535"/>
      <c r="AF19" s="1"/>
      <c r="AG19" s="1"/>
      <c r="AH19" s="1"/>
    </row>
    <row r="20" spans="2:34" ht="19.5" customHeight="1" thickBot="1">
      <c r="B20" s="221"/>
      <c r="C20" s="488" t="s">
        <v>19</v>
      </c>
      <c r="D20" s="488"/>
      <c r="E20" s="488"/>
      <c r="F20" s="488"/>
      <c r="G20" s="488"/>
      <c r="H20" s="488"/>
      <c r="I20" s="222"/>
      <c r="J20" s="221"/>
      <c r="K20" s="221"/>
      <c r="L20" s="221"/>
      <c r="M20" s="221"/>
      <c r="N20" s="221"/>
      <c r="O20" s="221"/>
      <c r="T20" s="535"/>
      <c r="U20" s="535"/>
      <c r="V20" s="535"/>
      <c r="W20" s="535"/>
      <c r="X20" s="535"/>
      <c r="Y20" s="535"/>
      <c r="Z20" s="535"/>
      <c r="AA20" s="535"/>
      <c r="AB20" s="535"/>
      <c r="AC20" s="535"/>
      <c r="AD20" s="535"/>
      <c r="AE20" s="535"/>
      <c r="AF20" s="1"/>
      <c r="AG20" s="1"/>
      <c r="AH20" s="1"/>
    </row>
    <row r="21" spans="2:34" ht="15" customHeight="1">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401" t="s">
        <v>28</v>
      </c>
      <c r="D23" s="401"/>
      <c r="E23" s="401"/>
      <c r="F23" s="401"/>
      <c r="G23" s="401"/>
      <c r="H23" s="401"/>
      <c r="I23" s="401"/>
      <c r="J23" s="40"/>
      <c r="K23" s="40"/>
      <c r="L23" s="40"/>
      <c r="M23" s="40"/>
      <c r="N23" s="40"/>
      <c r="O23" s="40"/>
      <c r="S23" s="109"/>
      <c r="T23" s="25"/>
      <c r="U23" s="490" t="s">
        <v>20</v>
      </c>
      <c r="V23" s="490"/>
      <c r="W23" s="490"/>
      <c r="X23" s="1"/>
      <c r="Y23" s="117" t="s">
        <v>6</v>
      </c>
      <c r="Z23" s="117"/>
      <c r="AA23" s="126"/>
      <c r="AB23" s="117" t="s">
        <v>23</v>
      </c>
      <c r="AC23" s="117"/>
      <c r="AD23" s="126"/>
      <c r="AE23" s="26" t="s">
        <v>24</v>
      </c>
      <c r="AF23" s="1"/>
      <c r="AG23" s="1"/>
      <c r="AH23" s="1"/>
    </row>
    <row r="24" spans="2:34" ht="15.75" customHeight="1">
      <c r="B24" s="40"/>
      <c r="C24" s="60" t="s">
        <v>7</v>
      </c>
      <c r="D24" s="115" t="s">
        <v>36</v>
      </c>
      <c r="E24" s="115"/>
      <c r="F24" s="115"/>
      <c r="G24" s="115"/>
      <c r="H24" s="115"/>
      <c r="I24" s="115"/>
      <c r="J24" s="45"/>
      <c r="K24" s="45"/>
      <c r="L24" s="45"/>
      <c r="M24" s="40"/>
      <c r="N24" s="40"/>
      <c r="O24" s="40"/>
      <c r="S24" s="109"/>
      <c r="T24" s="491" t="s">
        <v>21</v>
      </c>
      <c r="U24" s="490"/>
      <c r="V24" s="490"/>
      <c r="W24" s="490"/>
      <c r="X24" s="1"/>
      <c r="Y24" s="21">
        <f>'Mon Entreprise'!I106</f>
        <v>0</v>
      </c>
      <c r="Z24" s="21"/>
      <c r="AA24" s="22"/>
      <c r="AB24" s="21">
        <f>IF('Mon Entreprise'!I106-'Mon Entreprise'!M106&lt;0,0,'Mon Entreprise'!I106-'Mon Entreprise'!M106)</f>
        <v>0</v>
      </c>
      <c r="AC24" s="1"/>
      <c r="AD24" s="14"/>
      <c r="AE24" s="27">
        <f>IFERROR(1-'Mon Entreprise'!M106/'Mon Entreprise'!I106,0)</f>
        <v>0</v>
      </c>
      <c r="AF24" s="1"/>
      <c r="AG24" s="1"/>
      <c r="AH24" s="1"/>
    </row>
    <row r="25" spans="2:34" ht="15" hidden="1"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91" t="s">
        <v>25</v>
      </c>
      <c r="U25" s="490"/>
      <c r="V25" s="490"/>
      <c r="W25" s="490"/>
      <c r="X25" s="1"/>
      <c r="Y25" s="21">
        <f>'Mon Entreprise'!I96*(Annexes!M4-1)/360</f>
        <v>0</v>
      </c>
      <c r="Z25" s="21"/>
      <c r="AA25" s="22"/>
      <c r="AB25" s="21">
        <f>IF('Mon Entreprise'!I96*(Annexes!M4-1)/360-'Mon Entreprise'!M106&lt;0,0,'Mon Entreprise'!I96*(Annexes!M4-1)/360-'Mon Entreprise'!M106)</f>
        <v>0</v>
      </c>
      <c r="AC25" s="7"/>
      <c r="AD25" s="14"/>
      <c r="AE25" s="27">
        <f>IFERROR(1-'Mon Entreprise'!M106/('Mon Entreprise'!I96*(Annexes!M4-1)/360),0)</f>
        <v>0</v>
      </c>
      <c r="AF25" s="1"/>
      <c r="AG25" s="1"/>
      <c r="AH25" s="1"/>
    </row>
    <row r="26" spans="2:34" ht="15" hidden="1" customHeight="1">
      <c r="B26" s="40"/>
      <c r="C26" s="60"/>
      <c r="D26" s="60"/>
      <c r="E26" s="115"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57"/>
      <c r="K26" s="57"/>
      <c r="L26" s="57"/>
      <c r="M26" s="40"/>
      <c r="N26" s="40"/>
      <c r="O26" s="40"/>
      <c r="S26" s="109"/>
      <c r="T26" s="491" t="s">
        <v>22</v>
      </c>
      <c r="U26" s="490"/>
      <c r="V26" s="490"/>
      <c r="W26" s="490"/>
      <c r="X26" s="1"/>
      <c r="Y26" s="23" t="str">
        <f>IFERROR(IF(AND('Mon Entreprise'!K8&gt;=Annexes!Q18,'Mon Entreprise'!K8&lt;=Annexes!Q23),'Mon Entreprise'!I185,IF('Mon Entreprise'!K8&gt;=Annexes!O20,'Mon Entreprise'!I177,"NC")),"NC")</f>
        <v>NC</v>
      </c>
      <c r="Z26" s="23"/>
      <c r="AA26" s="22"/>
      <c r="AB26" s="23" t="str">
        <f>IFERROR(IF(AND('Mon Entreprise'!K8&gt;=Annexes!Q18,'Mon Entreprise'!K8&lt;=Annexes!Q23),IF('Mon Entreprise'!I185-'Mon Entreprise'!I109&lt;0,0,'Mon Entreprise'!I185-'Mon Entreprise'!I109),IF('Mon Entreprise'!K8&gt;=Annexes!O20,IF('Mon Entreprise'!I177-'Mon Entreprise'!I109&lt;0,0,'Mon Entreprise'!I177-'Mon Entreprise'!I109),"NC")),"NC")</f>
        <v>NC</v>
      </c>
      <c r="AC26" s="118"/>
      <c r="AD26" s="14"/>
      <c r="AE26" s="28" t="str">
        <f>IFERROR(IF(AND('Mon Entreprise'!K8&gt;=Annexes!Q18,'Mon Entreprise'!K8&lt;=Annexes!Q24),1-'Mon Entreprise'!I109/'Mon Entreprise'!I185,IF('Mon Entreprise'!K8&gt;=Annexes!O20,1-'Mon Entreprise'!I109/'Mon Entreprise'!I177,"NC")),"NC")</f>
        <v>NC</v>
      </c>
      <c r="AF26" s="1"/>
      <c r="AG26" s="1"/>
      <c r="AH26" s="1"/>
    </row>
    <row r="27" spans="2:34" ht="15" hidden="1"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551"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552"/>
      <c r="F29" s="552"/>
      <c r="G29" s="552"/>
      <c r="H29" s="552"/>
      <c r="I29" s="552"/>
      <c r="J29" s="552"/>
      <c r="K29" s="552"/>
      <c r="L29" s="552"/>
      <c r="M29" s="552"/>
      <c r="N29" s="552"/>
      <c r="O29" s="553"/>
      <c r="S29" s="109"/>
      <c r="T29" s="14"/>
      <c r="U29" s="506" t="s">
        <v>72</v>
      </c>
      <c r="V29" s="506"/>
      <c r="W29" s="506"/>
      <c r="X29" s="506"/>
      <c r="Y29" s="506"/>
      <c r="Z29" s="129"/>
      <c r="AA29" s="14"/>
      <c r="AB29" s="118" t="str">
        <f>IF('Mon Entreprise'!K8&lt;=Annexes!Q23,"Oui","Non")</f>
        <v>Oui</v>
      </c>
      <c r="AC29" s="1"/>
      <c r="AD29" s="1"/>
      <c r="AE29" s="13"/>
      <c r="AF29" s="1"/>
      <c r="AG29" s="1"/>
      <c r="AH29" s="1"/>
    </row>
    <row r="30" spans="2:34" ht="15" customHeight="1">
      <c r="B30" s="1"/>
      <c r="C30" s="1"/>
      <c r="D30" s="554"/>
      <c r="E30" s="496"/>
      <c r="F30" s="496"/>
      <c r="G30" s="496"/>
      <c r="H30" s="496"/>
      <c r="I30" s="496"/>
      <c r="J30" s="496"/>
      <c r="K30" s="496"/>
      <c r="L30" s="496"/>
      <c r="M30" s="496"/>
      <c r="N30" s="496"/>
      <c r="O30" s="555"/>
      <c r="P30" s="1"/>
      <c r="Q30" s="1"/>
      <c r="R30" s="1"/>
      <c r="S30" s="109"/>
      <c r="T30" s="14"/>
      <c r="U30" s="490" t="s">
        <v>78</v>
      </c>
      <c r="V30" s="490"/>
      <c r="W30" s="490"/>
      <c r="X30" s="490"/>
      <c r="Y30" s="490"/>
      <c r="Z30" s="118"/>
      <c r="AA30" s="14"/>
      <c r="AB30" s="118">
        <f>IF(Annexes!M9=FALSE,0,IF(Annexes!M4=1,0,Annexes!M4-1))</f>
        <v>0</v>
      </c>
      <c r="AC30" s="1"/>
      <c r="AD30" s="1"/>
      <c r="AE30" s="13"/>
      <c r="AF30" s="1"/>
      <c r="AG30" s="1"/>
      <c r="AH30" s="1"/>
    </row>
    <row r="31" spans="2:34" ht="15" customHeight="1">
      <c r="B31" s="1"/>
      <c r="C31" s="1"/>
      <c r="D31" s="554"/>
      <c r="E31" s="496"/>
      <c r="F31" s="496"/>
      <c r="G31" s="496"/>
      <c r="H31" s="496"/>
      <c r="I31" s="496"/>
      <c r="J31" s="496"/>
      <c r="K31" s="496"/>
      <c r="L31" s="496"/>
      <c r="M31" s="496"/>
      <c r="N31" s="496"/>
      <c r="O31" s="555"/>
      <c r="P31" s="1"/>
      <c r="Q31" s="1"/>
      <c r="R31" s="1"/>
      <c r="S31" s="1"/>
      <c r="T31" s="14"/>
      <c r="U31" s="490" t="s">
        <v>79</v>
      </c>
      <c r="V31" s="490"/>
      <c r="W31" s="490"/>
      <c r="X31" s="490"/>
      <c r="Y31" s="490"/>
      <c r="Z31" s="118"/>
      <c r="AA31" s="14"/>
      <c r="AB31" s="118" t="str">
        <f>IF(Annexes!M9=FALSE,"Non",IF(Annexes!M4=1,"Non","Oui"))</f>
        <v>Non</v>
      </c>
      <c r="AC31" s="1"/>
      <c r="AD31" s="1"/>
      <c r="AE31" s="13"/>
      <c r="AF31" s="1"/>
      <c r="AG31" s="1"/>
      <c r="AH31" s="1"/>
    </row>
    <row r="32" spans="2:34" ht="15" customHeight="1">
      <c r="B32" s="1"/>
      <c r="C32" s="1"/>
      <c r="D32" s="554"/>
      <c r="E32" s="496"/>
      <c r="F32" s="496"/>
      <c r="G32" s="496"/>
      <c r="H32" s="496"/>
      <c r="I32" s="496"/>
      <c r="J32" s="496"/>
      <c r="K32" s="496"/>
      <c r="L32" s="496"/>
      <c r="M32" s="496"/>
      <c r="N32" s="496"/>
      <c r="O32" s="555"/>
      <c r="P32" s="1"/>
      <c r="Q32" s="1"/>
      <c r="R32" s="1"/>
      <c r="S32" s="1"/>
      <c r="T32" s="14"/>
      <c r="U32" s="490" t="s">
        <v>89</v>
      </c>
      <c r="V32" s="490"/>
      <c r="W32" s="490"/>
      <c r="X32" s="490"/>
      <c r="Y32" s="490"/>
      <c r="Z32" s="130"/>
      <c r="AA32" s="14"/>
      <c r="AB32" s="118">
        <f>IF('Mon Entreprise'!K8&gt;=Annexes!O20,IF(AB24&gt;=AB26,AB24,AB26),IF(AB24&gt;=AB25,AB24,AB25))</f>
        <v>0</v>
      </c>
      <c r="AC32" s="1"/>
      <c r="AD32" s="1"/>
      <c r="AE32" s="13"/>
      <c r="AF32" s="1"/>
      <c r="AG32" s="1"/>
      <c r="AH32" s="1"/>
    </row>
    <row r="33" spans="2:34" ht="15.75" thickBot="1">
      <c r="B33" s="1"/>
      <c r="C33" s="1"/>
      <c r="D33" s="556"/>
      <c r="E33" s="557"/>
      <c r="F33" s="557"/>
      <c r="G33" s="557"/>
      <c r="H33" s="557"/>
      <c r="I33" s="557"/>
      <c r="J33" s="557"/>
      <c r="K33" s="557"/>
      <c r="L33" s="557"/>
      <c r="M33" s="557"/>
      <c r="N33" s="557"/>
      <c r="O33" s="558"/>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2"/>
      <c r="C37" s="488" t="s">
        <v>31</v>
      </c>
      <c r="D37" s="488"/>
      <c r="E37" s="488"/>
      <c r="F37" s="488"/>
      <c r="G37" s="488"/>
      <c r="H37" s="488"/>
      <c r="I37" s="222"/>
      <c r="J37" s="222"/>
      <c r="K37" s="222"/>
      <c r="L37" s="222"/>
      <c r="M37" s="222"/>
      <c r="N37" s="222"/>
      <c r="O37" s="222"/>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490" t="s">
        <v>20</v>
      </c>
      <c r="V40" s="490"/>
      <c r="W40" s="490"/>
      <c r="X40" s="1"/>
      <c r="Y40" s="117" t="s">
        <v>6</v>
      </c>
      <c r="Z40" s="117"/>
      <c r="AA40" s="117"/>
      <c r="AB40" s="117" t="s">
        <v>23</v>
      </c>
      <c r="AC40" s="117"/>
      <c r="AD40" s="117"/>
      <c r="AE40" s="26" t="s">
        <v>24</v>
      </c>
    </row>
    <row r="41" spans="2:34" ht="15.75" thickBot="1">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c r="B42" s="40"/>
      <c r="C42" s="40"/>
      <c r="D42" s="551"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552"/>
      <c r="F42" s="552"/>
      <c r="G42" s="552"/>
      <c r="H42" s="552"/>
      <c r="I42" s="552"/>
      <c r="J42" s="552"/>
      <c r="K42" s="552"/>
      <c r="L42" s="552"/>
      <c r="M42" s="552"/>
      <c r="N42" s="552"/>
      <c r="O42" s="553"/>
      <c r="T42" s="491" t="s">
        <v>27</v>
      </c>
      <c r="U42" s="490"/>
      <c r="V42" s="490"/>
      <c r="W42" s="490"/>
      <c r="X42" s="1"/>
      <c r="Y42" s="7">
        <f>'Mon Entreprise'!I112</f>
        <v>0</v>
      </c>
      <c r="Z42" s="21"/>
      <c r="AA42" s="22"/>
      <c r="AB42" s="7">
        <f>IF('Mon Entreprise'!I112-'Mon Entreprise'!M112&lt;0,0,'Mon Entreprise'!I112-'Mon Entreprise'!M112)</f>
        <v>0</v>
      </c>
      <c r="AC42" s="1"/>
      <c r="AD42" s="14"/>
      <c r="AE42" s="27">
        <f>IFERROR(1-'Mon Entreprise'!M112/'Mon Entreprise'!I112,0)</f>
        <v>0</v>
      </c>
    </row>
    <row r="43" spans="2:34" ht="15" customHeight="1">
      <c r="D43" s="554"/>
      <c r="E43" s="496"/>
      <c r="F43" s="496"/>
      <c r="G43" s="496"/>
      <c r="H43" s="496"/>
      <c r="I43" s="496"/>
      <c r="J43" s="496"/>
      <c r="K43" s="496"/>
      <c r="L43" s="496"/>
      <c r="M43" s="496"/>
      <c r="N43" s="496"/>
      <c r="O43" s="555"/>
      <c r="T43" s="491" t="s">
        <v>25</v>
      </c>
      <c r="U43" s="490"/>
      <c r="V43" s="490"/>
      <c r="W43" s="490"/>
      <c r="X43" s="1"/>
      <c r="Y43" s="7">
        <f>'Mon Entreprise'!I98</f>
        <v>0</v>
      </c>
      <c r="Z43" s="21"/>
      <c r="AA43" s="22"/>
      <c r="AB43" s="7">
        <f>IF('Mon Entreprise'!I98-'Mon Entreprise'!M112&lt;0,0,'Mon Entreprise'!I98-'Mon Entreprise'!M112)</f>
        <v>0</v>
      </c>
      <c r="AC43" s="7"/>
      <c r="AD43" s="14"/>
      <c r="AE43" s="27">
        <f>IFERROR(1-'Mon Entreprise'!M112/'Mon Entreprise'!I98,0)</f>
        <v>0</v>
      </c>
    </row>
    <row r="44" spans="2:34" ht="15" customHeight="1">
      <c r="C44" s="104"/>
      <c r="D44" s="554"/>
      <c r="E44" s="496"/>
      <c r="F44" s="496"/>
      <c r="G44" s="496"/>
      <c r="H44" s="496"/>
      <c r="I44" s="496"/>
      <c r="J44" s="496"/>
      <c r="K44" s="496"/>
      <c r="L44" s="496"/>
      <c r="M44" s="496"/>
      <c r="N44" s="496"/>
      <c r="O44" s="555"/>
      <c r="Q44" s="99"/>
      <c r="R44" s="99"/>
      <c r="S44" s="99"/>
      <c r="T44" s="501" t="s">
        <v>22</v>
      </c>
      <c r="U44" s="502"/>
      <c r="V44" s="502"/>
      <c r="W44" s="502"/>
      <c r="X44" s="139"/>
      <c r="Y44" s="140" t="str">
        <f>IF('Mon Entreprise'!I176="","NC",'Mon Entreprise'!I176)</f>
        <v>NC</v>
      </c>
      <c r="Z44" s="141"/>
      <c r="AA44" s="142"/>
      <c r="AB44" s="143" t="str">
        <f>IFERROR(IF('Mon Entreprise'!I176-'Mon Entreprise'!M112&lt;0,0,'Mon Entreprise'!I176-'Mon Entreprise'!M112),"NC")</f>
        <v>NC</v>
      </c>
      <c r="AC44" s="144"/>
      <c r="AD44" s="145"/>
      <c r="AE44" s="146" t="str">
        <f>IFERROR(1-'Mon Entreprise'!M112/'Mon Entreprise'!I176,"NC")</f>
        <v>NC</v>
      </c>
      <c r="AF44" s="99"/>
    </row>
    <row r="45" spans="2:34" ht="15" customHeight="1">
      <c r="C45" s="104"/>
      <c r="D45" s="554"/>
      <c r="E45" s="496"/>
      <c r="F45" s="496"/>
      <c r="G45" s="496"/>
      <c r="H45" s="496"/>
      <c r="I45" s="496"/>
      <c r="J45" s="496"/>
      <c r="K45" s="496"/>
      <c r="L45" s="496"/>
      <c r="M45" s="496"/>
      <c r="N45" s="496"/>
      <c r="O45" s="555"/>
      <c r="T45" s="14"/>
      <c r="U45" s="1"/>
      <c r="V45" s="1"/>
      <c r="W45" s="1"/>
      <c r="X45" s="1"/>
      <c r="Y45" s="1"/>
      <c r="Z45" s="1"/>
      <c r="AA45" s="1"/>
      <c r="AB45" s="1"/>
      <c r="AC45" s="1"/>
      <c r="AD45" s="1"/>
      <c r="AE45" s="13"/>
    </row>
    <row r="46" spans="2:34" ht="15.75" customHeight="1" thickBot="1">
      <c r="C46" s="104"/>
      <c r="D46" s="556"/>
      <c r="E46" s="557"/>
      <c r="F46" s="557"/>
      <c r="G46" s="557"/>
      <c r="H46" s="557"/>
      <c r="I46" s="557"/>
      <c r="J46" s="557"/>
      <c r="K46" s="557"/>
      <c r="L46" s="557"/>
      <c r="M46" s="557"/>
      <c r="N46" s="557"/>
      <c r="O46" s="558"/>
      <c r="T46" s="537" t="s">
        <v>4</v>
      </c>
      <c r="U46" s="506"/>
      <c r="V46" s="506"/>
      <c r="W46" s="506"/>
      <c r="X46" s="506"/>
      <c r="Y46" s="506"/>
      <c r="Z46" s="124"/>
      <c r="AA46" s="14"/>
      <c r="AB46" s="19">
        <f>IFERROR(IF('Mon Entreprise'!K8&lt;Annexes!O17,IF(1-'Mon Entreprise'!M118/'Mon Entreprise'!I118&gt;=1-'Mon Entreprise'!M118/('Mon Entreprise'!I98*2),1-'Mon Entreprise'!M118/'Mon Entreprise'!I118,1-'Mon Entreprise'!M118/('Mon Entreprise'!I98*2)),1-'Mon Entreprise'!M118/'Mon Entreprise'!I190),0)</f>
        <v>0</v>
      </c>
      <c r="AC46" s="1"/>
      <c r="AD46" s="1"/>
      <c r="AE46" s="13"/>
    </row>
    <row r="47" spans="2:34" ht="18.75" hidden="1" customHeight="1">
      <c r="C47" s="80"/>
      <c r="D47" s="80"/>
      <c r="E47" s="80"/>
      <c r="F47" s="80"/>
      <c r="G47" s="80"/>
      <c r="H47" s="80"/>
      <c r="I47" s="80"/>
      <c r="J47" s="80"/>
      <c r="K47" s="80"/>
      <c r="L47" s="80"/>
      <c r="M47" s="80"/>
      <c r="N47" s="80"/>
      <c r="O47" s="80"/>
      <c r="T47" s="14"/>
      <c r="U47" s="506" t="s">
        <v>8</v>
      </c>
      <c r="V47" s="506"/>
      <c r="W47" s="506"/>
      <c r="X47" s="506"/>
      <c r="Y47" s="506"/>
      <c r="Z47" s="124"/>
      <c r="AA47" s="14"/>
      <c r="AB47" s="178" t="str">
        <f>IF((AND(Annexes!F5&gt;1,Annexes!F5&lt;=Annexes!H6)),"OUI","NON")</f>
        <v>NON</v>
      </c>
      <c r="AC47" s="1"/>
      <c r="AD47" s="1"/>
      <c r="AE47" s="13"/>
    </row>
    <row r="48" spans="2:34" ht="15" hidden="1" customHeight="1">
      <c r="T48" s="14"/>
      <c r="U48" s="562" t="s">
        <v>9</v>
      </c>
      <c r="V48" s="562"/>
      <c r="W48" s="562"/>
      <c r="X48" s="562"/>
      <c r="Y48" s="562"/>
      <c r="Z48" s="125"/>
      <c r="AA48" s="14"/>
      <c r="AB48" s="178" t="str">
        <f>IF((AND(Annexes!F7&gt;1,Annexes!F7&lt;=Annexes!H8)),"OUI","NON")</f>
        <v>NON</v>
      </c>
      <c r="AC48" s="1"/>
      <c r="AD48" s="1"/>
      <c r="AE48" s="13"/>
    </row>
    <row r="49" spans="3:31" ht="15" hidden="1" customHeight="1">
      <c r="C49" s="559" t="s">
        <v>400</v>
      </c>
      <c r="D49" s="559"/>
      <c r="E49" s="559"/>
      <c r="F49" s="559"/>
      <c r="G49" s="559"/>
      <c r="H49" s="559"/>
      <c r="I49" s="559"/>
      <c r="J49" s="559"/>
      <c r="K49" s="559"/>
      <c r="L49" s="559"/>
      <c r="M49" s="559"/>
      <c r="N49" s="559"/>
      <c r="O49" s="559"/>
      <c r="T49" s="14"/>
      <c r="U49" s="506" t="s">
        <v>71</v>
      </c>
      <c r="V49" s="506"/>
      <c r="W49" s="506"/>
      <c r="X49" s="506"/>
      <c r="Y49" s="506"/>
      <c r="Z49" s="124"/>
      <c r="AA49" s="14"/>
      <c r="AB49" s="178">
        <f>IF(AB47="OUI",Annexes!O6,IF(AND(AB48="OUI",AB46&gt;=0.8),Annexes!O6,Annexes!O5))</f>
        <v>1500</v>
      </c>
      <c r="AC49" s="1"/>
      <c r="AD49" s="1"/>
      <c r="AE49" s="13"/>
    </row>
    <row r="50" spans="3:31" ht="15" hidden="1" customHeight="1">
      <c r="C50" s="559"/>
      <c r="D50" s="559"/>
      <c r="E50" s="559"/>
      <c r="F50" s="559"/>
      <c r="G50" s="559"/>
      <c r="H50" s="559"/>
      <c r="I50" s="559"/>
      <c r="J50" s="559"/>
      <c r="K50" s="559"/>
      <c r="L50" s="559"/>
      <c r="M50" s="559"/>
      <c r="N50" s="559"/>
      <c r="O50" s="559"/>
      <c r="T50" s="14"/>
      <c r="U50" s="506" t="s">
        <v>72</v>
      </c>
      <c r="V50" s="506"/>
      <c r="W50" s="506"/>
      <c r="X50" s="506"/>
      <c r="Y50" s="506"/>
      <c r="Z50" s="124"/>
      <c r="AA50" s="14"/>
      <c r="AB50" s="178" t="str">
        <f>IF('Mon Entreprise'!K8&lt;=Annexes!Q24,"Oui","Non")</f>
        <v>Oui</v>
      </c>
      <c r="AC50" s="1"/>
      <c r="AD50" s="1"/>
      <c r="AE50" s="13"/>
    </row>
    <row r="51" spans="3:31" ht="15" hidden="1"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506" t="s">
        <v>84</v>
      </c>
      <c r="V51" s="506"/>
      <c r="W51" s="506"/>
      <c r="X51" s="506"/>
      <c r="Y51" s="506"/>
      <c r="Z51" s="124"/>
      <c r="AA51" s="14"/>
      <c r="AB51" s="178">
        <f>IF('Mon Entreprise'!K8&gt;=Annexes!O20,IF(AB42&gt;=AB44,AB42,AB44),IF(AB42&gt;=AB43,AB42,AB43))</f>
        <v>0</v>
      </c>
      <c r="AC51" s="1"/>
      <c r="AD51" s="1"/>
      <c r="AE51" s="13"/>
    </row>
    <row r="52" spans="3:31" ht="15" hidden="1" customHeight="1">
      <c r="C52" s="58"/>
      <c r="D52" s="560"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560"/>
      <c r="F52" s="560"/>
      <c r="G52" s="560"/>
      <c r="H52" s="560"/>
      <c r="I52" s="560"/>
      <c r="J52" s="560"/>
      <c r="K52" s="560"/>
      <c r="L52" s="560"/>
      <c r="M52" s="560"/>
      <c r="N52" s="560"/>
      <c r="O52" s="560"/>
      <c r="T52" s="14"/>
      <c r="U52" s="506" t="s">
        <v>85</v>
      </c>
      <c r="V52" s="506"/>
      <c r="W52" s="506"/>
      <c r="X52" s="506"/>
      <c r="Y52" s="506"/>
      <c r="Z52" s="124"/>
      <c r="AA52" s="14"/>
      <c r="AB52" s="19">
        <f>IF('Mon Entreprise'!K8&gt;=Annexes!O20,IF(AB42&gt;=AB44,AE42,AE44),IF(AB42&gt;=AB43,AE42,AE43))</f>
        <v>0</v>
      </c>
      <c r="AC52" s="1"/>
      <c r="AD52" s="1"/>
      <c r="AE52" s="13"/>
    </row>
    <row r="53" spans="3:31" ht="15" hidden="1" customHeight="1">
      <c r="C53" s="58"/>
      <c r="D53" s="560"/>
      <c r="E53" s="560"/>
      <c r="F53" s="560"/>
      <c r="G53" s="560"/>
      <c r="H53" s="560"/>
      <c r="I53" s="560"/>
      <c r="J53" s="560"/>
      <c r="K53" s="560"/>
      <c r="L53" s="560"/>
      <c r="M53" s="560"/>
      <c r="N53" s="560"/>
      <c r="O53" s="560"/>
      <c r="T53" s="14"/>
      <c r="U53" s="506" t="s">
        <v>73</v>
      </c>
      <c r="V53" s="506"/>
      <c r="W53" s="506"/>
      <c r="X53" s="506"/>
      <c r="Y53" s="506"/>
      <c r="Z53" s="124"/>
      <c r="AA53" s="14"/>
      <c r="AB53" s="178">
        <f>IF(AB52&gt;=0.7,IF(AB47="OUI",Annexes!O6,IF(AND(AB48="OUI",AB46&gt;=0.8),Annexes!O6,0)),IF(AB52&gt;=0.5,IF(AB47="OUI",Annexes!O5,IF(AND(AB48="OUI",AB46&gt;=0.8),Annexes!O5,0)),0))</f>
        <v>0</v>
      </c>
      <c r="AC53" s="1"/>
      <c r="AD53" s="1"/>
      <c r="AE53" s="13"/>
    </row>
    <row r="54" spans="3:31" ht="15" hidden="1"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506" t="s">
        <v>74</v>
      </c>
      <c r="V54" s="506"/>
      <c r="W54" s="506"/>
      <c r="X54" s="506"/>
      <c r="Y54" s="506"/>
      <c r="Z54" s="124"/>
      <c r="AA54" s="14"/>
      <c r="AB54" s="178">
        <f>IF(AB52&gt;=0.7,IF(AB47="OUI",Annexes!P6,IF(AND(AB48="OUI",AB46&gt;=0.8),Annexes!P6,1)),1)</f>
        <v>1</v>
      </c>
      <c r="AC54" s="1"/>
      <c r="AD54" s="1"/>
      <c r="AE54" s="13"/>
    </row>
    <row r="55" spans="3:31" ht="15" hidden="1" customHeight="1" thickBot="1">
      <c r="C55" s="58"/>
      <c r="D55" s="58"/>
      <c r="E55" s="58"/>
      <c r="F55" s="58"/>
      <c r="G55" s="58"/>
      <c r="H55" s="58"/>
      <c r="I55" s="58"/>
      <c r="J55" s="58"/>
      <c r="K55" s="58"/>
      <c r="L55" s="58"/>
      <c r="M55" s="58"/>
      <c r="N55" s="58"/>
      <c r="O55" s="58"/>
      <c r="T55" s="14"/>
      <c r="U55" s="490" t="s">
        <v>80</v>
      </c>
      <c r="V55" s="490"/>
      <c r="W55" s="490"/>
      <c r="X55" s="490"/>
      <c r="Y55" s="490"/>
      <c r="Z55" s="1"/>
      <c r="AA55" s="14"/>
      <c r="AB55" s="178">
        <f>IF('Mon Entreprise'!K8&gt;=Annexes!O20,IF(AB42&gt;=AB44,Y42,Y44),IF(AB42&gt;=AB43,Y42,Y43))</f>
        <v>0</v>
      </c>
      <c r="AC55" s="1"/>
      <c r="AD55" s="1"/>
      <c r="AE55" s="13"/>
    </row>
    <row r="56" spans="3:31" ht="15.75" hidden="1" customHeight="1">
      <c r="D56" s="508"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509"/>
      <c r="F56" s="509"/>
      <c r="G56" s="509"/>
      <c r="H56" s="509"/>
      <c r="I56" s="509"/>
      <c r="J56" s="509"/>
      <c r="K56" s="509"/>
      <c r="L56" s="509"/>
      <c r="M56" s="509"/>
      <c r="N56" s="509"/>
      <c r="O56" s="510"/>
      <c r="T56" s="14"/>
      <c r="U56" s="490" t="s">
        <v>401</v>
      </c>
      <c r="V56" s="490"/>
      <c r="W56" s="490"/>
      <c r="X56" s="490"/>
      <c r="Y56" s="490"/>
      <c r="Z56" s="1"/>
      <c r="AA56" s="14"/>
      <c r="AB56" s="178">
        <f>IFERROR(IF(AB51&gt;AB55*AB54,IF(AND(AB51&gt;1500,1500&gt;AB55*AB54),1500,IF(1500&gt;AB51,AB51,AB55*AB54)),AB51),0)</f>
        <v>0</v>
      </c>
      <c r="AC56" s="1"/>
      <c r="AD56" s="1"/>
      <c r="AE56" s="13"/>
    </row>
    <row r="57" spans="3:31" ht="15" hidden="1" customHeight="1">
      <c r="D57" s="511"/>
      <c r="E57" s="512"/>
      <c r="F57" s="512"/>
      <c r="G57" s="512"/>
      <c r="H57" s="512"/>
      <c r="I57" s="512"/>
      <c r="J57" s="512"/>
      <c r="K57" s="512"/>
      <c r="L57" s="512"/>
      <c r="M57" s="512"/>
      <c r="N57" s="512"/>
      <c r="O57" s="513"/>
      <c r="T57" s="14"/>
      <c r="U57" s="1"/>
      <c r="V57" s="1"/>
      <c r="W57" s="1"/>
      <c r="X57" s="1"/>
      <c r="Y57" s="1"/>
      <c r="Z57" s="1"/>
      <c r="AA57" s="1"/>
      <c r="AB57" s="1"/>
      <c r="AC57" s="1"/>
      <c r="AD57" s="1"/>
      <c r="AE57" s="13"/>
    </row>
    <row r="58" spans="3:31" ht="15" hidden="1" customHeight="1">
      <c r="D58" s="511"/>
      <c r="E58" s="512"/>
      <c r="F58" s="512"/>
      <c r="G58" s="512"/>
      <c r="H58" s="512"/>
      <c r="I58" s="512"/>
      <c r="J58" s="512"/>
      <c r="K58" s="512"/>
      <c r="L58" s="512"/>
      <c r="M58" s="512"/>
      <c r="N58" s="512"/>
      <c r="O58" s="513"/>
      <c r="T58" s="14"/>
      <c r="U58" s="1"/>
      <c r="V58" s="1"/>
      <c r="W58" s="1"/>
      <c r="X58" s="1"/>
      <c r="Y58" s="1"/>
      <c r="Z58" s="1"/>
      <c r="AA58" s="1"/>
      <c r="AB58" s="1"/>
      <c r="AC58" s="1"/>
      <c r="AD58" s="1"/>
      <c r="AE58" s="13"/>
    </row>
    <row r="59" spans="3:31" ht="15" hidden="1" customHeight="1" thickBot="1">
      <c r="D59" s="514"/>
      <c r="E59" s="515"/>
      <c r="F59" s="515"/>
      <c r="G59" s="515"/>
      <c r="H59" s="515"/>
      <c r="I59" s="515"/>
      <c r="J59" s="515"/>
      <c r="K59" s="515"/>
      <c r="L59" s="515"/>
      <c r="M59" s="515"/>
      <c r="N59" s="515"/>
      <c r="O59" s="516"/>
      <c r="T59" s="14"/>
      <c r="U59" s="1"/>
      <c r="V59" s="1"/>
      <c r="W59" s="1"/>
      <c r="X59" s="1"/>
      <c r="Y59" s="1"/>
      <c r="Z59" s="1"/>
      <c r="AA59" s="1"/>
      <c r="AB59" s="1"/>
      <c r="AC59" s="1"/>
      <c r="AD59" s="1"/>
      <c r="AE59" s="13"/>
    </row>
    <row r="60" spans="3:31" ht="15.75" hidden="1" customHeight="1">
      <c r="C60" s="78"/>
      <c r="D60" s="78"/>
      <c r="E60" s="78"/>
      <c r="F60" s="78"/>
      <c r="G60" s="78"/>
      <c r="H60" s="78"/>
      <c r="I60" s="78"/>
      <c r="J60" s="78"/>
      <c r="K60" s="78"/>
      <c r="L60" s="78"/>
      <c r="M60" s="78"/>
      <c r="N60" s="78"/>
      <c r="O60" s="78"/>
      <c r="T60" s="14"/>
      <c r="U60" s="490" t="s">
        <v>75</v>
      </c>
      <c r="V60" s="490"/>
      <c r="W60" s="490"/>
      <c r="X60" s="490"/>
      <c r="Y60" s="490"/>
      <c r="Z60" s="1"/>
      <c r="AA60" s="14"/>
      <c r="AB60" s="1">
        <f>IFERROR(IF(AB50="Non",0,IF(Annexes!M13=FALSE,0,IF(AB52&gt;=0.5,IF(AB49=Annexes!O6,IF(AB51&gt;=Annexes!O6,Annexes!O6,IF(AB51=0,0,ROUND(AB51,0))),IF(AB49=Annexes!O5,IF(AB51&gt;Annexes!O5,Annexes!O5,IF(AB51=0,0,ROUND(AB51,0))),)),0))),0)</f>
        <v>0</v>
      </c>
      <c r="AC60" s="1"/>
      <c r="AD60" s="1"/>
      <c r="AE60" s="13"/>
    </row>
    <row r="61" spans="3:31" ht="15" hidden="1" customHeight="1">
      <c r="T61" s="14"/>
      <c r="U61" s="490" t="s">
        <v>76</v>
      </c>
      <c r="V61" s="490"/>
      <c r="W61" s="490"/>
      <c r="X61" s="490"/>
      <c r="Y61" s="490"/>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hidden="1" customHeight="1">
      <c r="C62" s="547" t="s">
        <v>402</v>
      </c>
      <c r="D62" s="547"/>
      <c r="E62" s="547"/>
      <c r="F62" s="547"/>
      <c r="G62" s="547"/>
      <c r="H62" s="547"/>
      <c r="I62" s="547"/>
      <c r="J62" s="547"/>
      <c r="K62" s="547"/>
      <c r="L62" s="547"/>
      <c r="M62" s="547"/>
      <c r="N62" s="547"/>
      <c r="O62" s="547"/>
      <c r="P62" s="40"/>
      <c r="T62" s="14"/>
      <c r="U62" s="490" t="s">
        <v>77</v>
      </c>
      <c r="V62" s="490"/>
      <c r="W62" s="490"/>
      <c r="X62" s="490"/>
      <c r="Y62" s="490"/>
      <c r="Z62" s="1"/>
      <c r="AA62" s="14"/>
      <c r="AB62" s="1">
        <f>IFERROR(IF(AB82="NON",0,IF(AB84="Non",0,IF(AB85&gt;Annexes!O7*(Annexes!M6-1),IF(Annexes!O7*(Annexes!M6-1)&gt;10000,10000,Annexes!O7*(Annexes!M6-1)),ROUND(IF(AB85&gt;10000,10000,AB85),0)))),0)</f>
        <v>0</v>
      </c>
      <c r="AC62" s="1"/>
      <c r="AD62" s="1"/>
      <c r="AE62" s="13"/>
    </row>
    <row r="63" spans="3:31" ht="15" hidden="1" customHeight="1">
      <c r="C63" s="547"/>
      <c r="D63" s="547"/>
      <c r="E63" s="547"/>
      <c r="F63" s="547"/>
      <c r="G63" s="547"/>
      <c r="H63" s="547"/>
      <c r="I63" s="547"/>
      <c r="J63" s="547"/>
      <c r="K63" s="547"/>
      <c r="L63" s="547"/>
      <c r="M63" s="547"/>
      <c r="N63" s="547"/>
      <c r="O63" s="547"/>
      <c r="P63" s="40"/>
      <c r="T63" s="14"/>
      <c r="U63" s="1"/>
      <c r="V63" s="1"/>
      <c r="W63" s="1"/>
      <c r="X63" s="1"/>
      <c r="Y63" s="1"/>
      <c r="Z63" s="1"/>
      <c r="AA63" s="1"/>
      <c r="AB63" s="1"/>
      <c r="AC63" s="1"/>
      <c r="AD63" s="1"/>
      <c r="AE63" s="13"/>
    </row>
    <row r="64" spans="3:31" ht="15" hidden="1" customHeight="1">
      <c r="C64" s="60"/>
      <c r="D64" s="56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561"/>
      <c r="F64" s="561"/>
      <c r="G64" s="561"/>
      <c r="H64" s="561"/>
      <c r="I64" s="561"/>
      <c r="J64" s="561"/>
      <c r="K64" s="561"/>
      <c r="L64" s="561"/>
      <c r="M64" s="561"/>
      <c r="N64" s="561"/>
      <c r="O64" s="561"/>
      <c r="P64" s="40"/>
      <c r="T64" s="14"/>
      <c r="U64" s="1"/>
      <c r="V64" s="1"/>
      <c r="W64" s="1"/>
      <c r="X64" s="1"/>
      <c r="Y64" s="1"/>
      <c r="Z64" s="1"/>
      <c r="AA64" s="1"/>
      <c r="AB64" s="1"/>
      <c r="AC64" s="1"/>
      <c r="AD64" s="1"/>
      <c r="AE64" s="13"/>
    </row>
    <row r="65" spans="2:31" ht="15" hidden="1" customHeight="1">
      <c r="C65" s="60"/>
      <c r="D65" s="561"/>
      <c r="E65" s="561"/>
      <c r="F65" s="561"/>
      <c r="G65" s="561"/>
      <c r="H65" s="561"/>
      <c r="I65" s="561"/>
      <c r="J65" s="561"/>
      <c r="K65" s="561"/>
      <c r="L65" s="561"/>
      <c r="M65" s="561"/>
      <c r="N65" s="561"/>
      <c r="O65" s="561"/>
      <c r="P65" s="40"/>
      <c r="T65" s="14"/>
      <c r="U65" s="1"/>
      <c r="V65" s="1"/>
      <c r="W65" s="1"/>
      <c r="X65" s="1"/>
      <c r="Y65" s="1"/>
      <c r="Z65" s="1"/>
      <c r="AA65" s="1"/>
      <c r="AB65" s="1"/>
      <c r="AC65" s="1"/>
      <c r="AD65" s="1"/>
      <c r="AE65" s="13"/>
    </row>
    <row r="66" spans="2:31" ht="15" hidden="1"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119"/>
      <c r="U66" s="1"/>
      <c r="V66" s="1"/>
      <c r="W66" s="1"/>
      <c r="X66" s="1"/>
      <c r="Y66" s="1"/>
      <c r="Z66" s="1"/>
      <c r="AA66" s="1"/>
      <c r="AB66" s="1"/>
      <c r="AC66" s="1"/>
      <c r="AD66" s="1"/>
      <c r="AE66" s="13"/>
    </row>
    <row r="67" spans="2:31" ht="15" hidden="1"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hidden="1" customHeight="1" thickBot="1">
      <c r="T68" s="14"/>
      <c r="U68" s="1"/>
      <c r="V68" s="1"/>
      <c r="W68" s="1"/>
      <c r="X68" s="1"/>
      <c r="Y68" s="1"/>
      <c r="Z68" s="1"/>
      <c r="AA68" s="1"/>
      <c r="AB68" s="1"/>
      <c r="AC68" s="1"/>
      <c r="AD68" s="1"/>
      <c r="AE68" s="13"/>
    </row>
    <row r="69" spans="2:31" ht="15" hidden="1" customHeight="1">
      <c r="D69" s="508"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509"/>
      <c r="F69" s="509"/>
      <c r="G69" s="509"/>
      <c r="H69" s="509"/>
      <c r="I69" s="509"/>
      <c r="J69" s="509"/>
      <c r="K69" s="509"/>
      <c r="L69" s="509"/>
      <c r="M69" s="509"/>
      <c r="N69" s="509"/>
      <c r="O69" s="510"/>
      <c r="T69" s="30"/>
      <c r="U69" s="1"/>
      <c r="V69" s="1"/>
      <c r="W69" s="1"/>
      <c r="X69" s="1"/>
      <c r="Y69" s="1"/>
      <c r="Z69" s="1"/>
      <c r="AA69" s="1"/>
      <c r="AB69" s="1"/>
      <c r="AC69" s="1"/>
      <c r="AD69" s="1"/>
      <c r="AE69" s="13"/>
    </row>
    <row r="70" spans="2:31" ht="15" hidden="1" customHeight="1">
      <c r="D70" s="511"/>
      <c r="E70" s="512"/>
      <c r="F70" s="512"/>
      <c r="G70" s="512"/>
      <c r="H70" s="512"/>
      <c r="I70" s="512"/>
      <c r="J70" s="512"/>
      <c r="K70" s="512"/>
      <c r="L70" s="512"/>
      <c r="M70" s="512"/>
      <c r="N70" s="512"/>
      <c r="O70" s="513"/>
      <c r="T70" s="20"/>
      <c r="U70" s="38"/>
      <c r="V70" s="1"/>
      <c r="W70" s="1"/>
      <c r="X70" s="1"/>
      <c r="Y70" s="1"/>
      <c r="Z70" s="1"/>
      <c r="AA70" s="1"/>
      <c r="AB70" s="1"/>
      <c r="AC70" s="1"/>
      <c r="AD70" s="1"/>
      <c r="AE70" s="13"/>
    </row>
    <row r="71" spans="2:31" ht="15.75" hidden="1" customHeight="1">
      <c r="D71" s="511"/>
      <c r="E71" s="512"/>
      <c r="F71" s="512"/>
      <c r="G71" s="512"/>
      <c r="H71" s="512"/>
      <c r="I71" s="512"/>
      <c r="J71" s="512"/>
      <c r="K71" s="512"/>
      <c r="L71" s="512"/>
      <c r="M71" s="512"/>
      <c r="N71" s="512"/>
      <c r="O71" s="513"/>
      <c r="T71" s="14"/>
      <c r="U71" s="1"/>
      <c r="V71" s="1"/>
      <c r="W71" s="1"/>
      <c r="X71" s="1"/>
      <c r="Y71" s="1"/>
      <c r="Z71" s="1"/>
      <c r="AA71" s="1"/>
      <c r="AB71" s="1"/>
      <c r="AC71" s="1"/>
      <c r="AD71" s="1"/>
      <c r="AE71" s="13"/>
    </row>
    <row r="72" spans="2:31" ht="15.75" hidden="1" customHeight="1" thickBot="1">
      <c r="D72" s="514"/>
      <c r="E72" s="515"/>
      <c r="F72" s="515"/>
      <c r="G72" s="515"/>
      <c r="H72" s="515"/>
      <c r="I72" s="515"/>
      <c r="J72" s="515"/>
      <c r="K72" s="515"/>
      <c r="L72" s="515"/>
      <c r="M72" s="515"/>
      <c r="N72" s="515"/>
      <c r="O72" s="516"/>
      <c r="T72" s="14"/>
      <c r="U72" s="1"/>
      <c r="V72" s="1"/>
      <c r="W72" s="1"/>
      <c r="X72" s="1"/>
      <c r="Y72" s="1"/>
      <c r="Z72" s="1"/>
      <c r="AA72" s="1"/>
      <c r="AB72" s="1"/>
      <c r="AC72" s="1"/>
      <c r="AD72" s="1"/>
      <c r="AE72" s="13"/>
    </row>
    <row r="73" spans="2:31" ht="15" hidden="1"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hidden="1" customHeight="1">
      <c r="B74" s="5"/>
      <c r="C74" s="5"/>
      <c r="D74" s="5"/>
      <c r="P74" s="1"/>
      <c r="T74" s="14"/>
      <c r="U74" s="1"/>
      <c r="V74" s="1"/>
      <c r="W74" s="1"/>
      <c r="X74" s="1"/>
      <c r="Y74" s="1"/>
      <c r="Z74" s="1"/>
      <c r="AA74" s="1"/>
      <c r="AB74" s="1"/>
      <c r="AC74" s="1"/>
      <c r="AD74" s="1"/>
      <c r="AE74" s="13"/>
    </row>
    <row r="75" spans="2:31" ht="15.75" hidden="1" customHeight="1">
      <c r="B75" s="58"/>
      <c r="C75" s="121" t="s">
        <v>63</v>
      </c>
      <c r="D75" s="121"/>
      <c r="E75" s="60"/>
      <c r="F75" s="60"/>
      <c r="G75" s="60"/>
      <c r="H75" s="60"/>
      <c r="I75" s="60"/>
      <c r="J75" s="60"/>
      <c r="K75" s="60"/>
      <c r="L75" s="116"/>
      <c r="M75" s="60"/>
      <c r="N75" s="60"/>
      <c r="O75" s="60"/>
      <c r="P75" s="44"/>
      <c r="T75" s="14"/>
      <c r="U75" s="1"/>
      <c r="V75" s="1"/>
      <c r="W75" s="1"/>
      <c r="X75" s="1"/>
      <c r="Y75" s="1"/>
      <c r="Z75" s="1"/>
      <c r="AA75" s="1"/>
      <c r="AB75" s="1"/>
      <c r="AC75" s="1"/>
      <c r="AD75" s="1"/>
      <c r="AE75" s="13"/>
    </row>
    <row r="76" spans="2:31" ht="15" hidden="1"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8"/>
      <c r="U76" s="490" t="s">
        <v>20</v>
      </c>
      <c r="V76" s="490"/>
      <c r="W76" s="490"/>
      <c r="X76" s="1"/>
      <c r="Y76" s="117" t="s">
        <v>6</v>
      </c>
      <c r="Z76" s="117"/>
      <c r="AA76" s="117"/>
      <c r="AB76" s="117" t="s">
        <v>23</v>
      </c>
      <c r="AC76" s="117"/>
      <c r="AD76" s="117"/>
      <c r="AE76" s="26" t="s">
        <v>24</v>
      </c>
    </row>
    <row r="77" spans="2:31" ht="15" hidden="1"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91" t="s">
        <v>29</v>
      </c>
      <c r="U77" s="490"/>
      <c r="V77" s="490"/>
      <c r="W77" s="490"/>
      <c r="X77" s="1"/>
      <c r="Y77" s="7">
        <f>'Mon Entreprise'!M109</f>
        <v>0</v>
      </c>
      <c r="Z77" s="21"/>
      <c r="AA77" s="22"/>
      <c r="AB77" s="7">
        <f>IF('Mon Entreprise'!I109-'Mon Entreprise'!M109&lt;0,0,'Mon Entreprise'!I109-'Mon Entreprise'!M109)</f>
        <v>0</v>
      </c>
      <c r="AC77" s="1"/>
      <c r="AD77" s="14"/>
      <c r="AE77" s="27">
        <f>IFERROR(1-'Mon Entreprise'!M109/'Mon Entreprise'!I109,0)</f>
        <v>0</v>
      </c>
    </row>
    <row r="78" spans="2:31" ht="15" hidden="1"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91" t="s">
        <v>25</v>
      </c>
      <c r="U78" s="490"/>
      <c r="V78" s="490"/>
      <c r="W78" s="490"/>
      <c r="X78" s="1"/>
      <c r="Y78" s="7">
        <f>'Mon Entreprise'!I96*(Annexes!M4-1)/360</f>
        <v>0</v>
      </c>
      <c r="Z78" s="21"/>
      <c r="AA78" s="22"/>
      <c r="AB78" s="7">
        <f>IF('Mon Entreprise'!I96*(Annexes!M6-1)/360-'Mon Entreprise'!M109&lt;0,0,'Mon Entreprise'!I96*(Annexes!M6-1)/360-'Mon Entreprise'!M109)</f>
        <v>0</v>
      </c>
      <c r="AC78" s="7"/>
      <c r="AD78" s="14"/>
      <c r="AE78" s="27">
        <f>IFERROR(1-'Mon Entreprise'!M109/('Mon Entreprise'!I96*(Annexes!M6-1)/360),0)</f>
        <v>0</v>
      </c>
    </row>
    <row r="79" spans="2:31" ht="15" hidden="1" customHeight="1" thickBot="1">
      <c r="C79" s="5"/>
      <c r="D79" s="5"/>
      <c r="Q79" s="61"/>
      <c r="R79" s="44"/>
      <c r="S79" s="1"/>
      <c r="T79" s="491" t="s">
        <v>22</v>
      </c>
      <c r="U79" s="490"/>
      <c r="V79" s="490"/>
      <c r="W79" s="490"/>
      <c r="X79" s="1"/>
      <c r="Y79" s="18" t="str">
        <f>IFERROR(IF('Mon Entreprise'!K8&gt;=Annexes!O20,'Mon Entreprise'!I178,"NC"),"NC")</f>
        <v>NC</v>
      </c>
      <c r="Z79" s="23"/>
      <c r="AA79" s="22"/>
      <c r="AB79" s="37" t="str">
        <f>IFERROR(IF('Mon Entreprise'!K8&gt;=Annexes!O20,IF('Mon Entreprise'!I178-'Mon Entreprise'!M109&lt;0,0,'Mon Entreprise'!I178-'Mon Entreprise'!M109),"NC"),"NC")</f>
        <v>NC</v>
      </c>
      <c r="AC79" s="118"/>
      <c r="AD79" s="14"/>
      <c r="AE79" s="28" t="str">
        <f>IFERROR(IF('Mon Entreprise'!K8&gt;=Annexes!O20,1-'Mon Entreprise'!M109/'Mon Entreprise'!I178,"NC"),"NC")</f>
        <v>NC</v>
      </c>
    </row>
    <row r="80" spans="2:31" ht="15" hidden="1" customHeight="1">
      <c r="B80" s="5"/>
      <c r="C80" s="5"/>
      <c r="D80" s="538"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539"/>
      <c r="F80" s="539"/>
      <c r="G80" s="539"/>
      <c r="H80" s="539"/>
      <c r="I80" s="539"/>
      <c r="J80" s="539"/>
      <c r="K80" s="539"/>
      <c r="L80" s="539"/>
      <c r="M80" s="539"/>
      <c r="N80" s="539"/>
      <c r="O80" s="540"/>
      <c r="Q80" s="40"/>
      <c r="R80" s="61"/>
      <c r="T80" s="119"/>
      <c r="U80" s="118"/>
      <c r="V80" s="118"/>
      <c r="W80" s="118"/>
      <c r="X80" s="1"/>
      <c r="Y80" s="18"/>
      <c r="Z80" s="23"/>
      <c r="AA80" s="21"/>
      <c r="AB80" s="37"/>
      <c r="AC80" s="118"/>
      <c r="AD80" s="1"/>
      <c r="AE80" s="28"/>
    </row>
    <row r="81" spans="2:31" ht="15" hidden="1" customHeight="1">
      <c r="B81" s="5"/>
      <c r="C81" s="5"/>
      <c r="D81" s="541"/>
      <c r="E81" s="542"/>
      <c r="F81" s="542"/>
      <c r="G81" s="542"/>
      <c r="H81" s="542"/>
      <c r="I81" s="542"/>
      <c r="J81" s="542"/>
      <c r="K81" s="542"/>
      <c r="L81" s="542"/>
      <c r="M81" s="542"/>
      <c r="N81" s="542"/>
      <c r="O81" s="543"/>
      <c r="Q81" s="40"/>
      <c r="R81" s="61"/>
      <c r="T81" s="14"/>
      <c r="U81" s="1"/>
      <c r="V81" s="1"/>
      <c r="W81" s="1"/>
      <c r="X81" s="1"/>
      <c r="Y81" s="1"/>
      <c r="Z81" s="1"/>
      <c r="AA81" s="1"/>
      <c r="AB81" s="1"/>
      <c r="AC81" s="1"/>
      <c r="AD81" s="1"/>
      <c r="AE81" s="13"/>
    </row>
    <row r="82" spans="2:31" ht="15" hidden="1" customHeight="1">
      <c r="B82" s="5"/>
      <c r="C82" s="5"/>
      <c r="D82" s="541"/>
      <c r="E82" s="542"/>
      <c r="F82" s="542"/>
      <c r="G82" s="542"/>
      <c r="H82" s="542"/>
      <c r="I82" s="542"/>
      <c r="J82" s="542"/>
      <c r="K82" s="542"/>
      <c r="L82" s="542"/>
      <c r="M82" s="542"/>
      <c r="N82" s="542"/>
      <c r="O82" s="543"/>
      <c r="R82" s="40"/>
      <c r="T82" s="14"/>
      <c r="U82" s="506" t="s">
        <v>72</v>
      </c>
      <c r="V82" s="506"/>
      <c r="W82" s="506"/>
      <c r="X82" s="506"/>
      <c r="Y82" s="506"/>
      <c r="Z82" s="129"/>
      <c r="AA82" s="14"/>
      <c r="AB82" s="118" t="str">
        <f>IF('Mon Entreprise'!K8&lt;=Annexes!Q24,"Oui","Non")</f>
        <v>Oui</v>
      </c>
      <c r="AC82" s="1"/>
      <c r="AD82" s="1"/>
      <c r="AE82" s="13"/>
    </row>
    <row r="83" spans="2:31" ht="15" hidden="1" customHeight="1" thickBot="1">
      <c r="C83" s="5"/>
      <c r="D83" s="544"/>
      <c r="E83" s="545"/>
      <c r="F83" s="545"/>
      <c r="G83" s="545"/>
      <c r="H83" s="545"/>
      <c r="I83" s="545"/>
      <c r="J83" s="545"/>
      <c r="K83" s="545"/>
      <c r="L83" s="545"/>
      <c r="M83" s="545"/>
      <c r="N83" s="545"/>
      <c r="O83" s="546"/>
      <c r="T83" s="14"/>
      <c r="U83" s="490" t="s">
        <v>78</v>
      </c>
      <c r="V83" s="490"/>
      <c r="W83" s="490"/>
      <c r="X83" s="490"/>
      <c r="Y83" s="490"/>
      <c r="Z83" s="118"/>
      <c r="AA83" s="14"/>
      <c r="AB83" s="118">
        <f>IF(Annexes!M9=FALSE,0,IF(Annexes!M6=1,0,Annexes!M6-1))</f>
        <v>0</v>
      </c>
      <c r="AC83" s="1"/>
      <c r="AD83" s="1"/>
      <c r="AE83" s="13"/>
    </row>
    <row r="84" spans="2:31" ht="15.75" hidden="1" customHeight="1">
      <c r="B84" s="5"/>
      <c r="C84" s="5"/>
      <c r="D84" s="5"/>
      <c r="T84" s="14"/>
      <c r="U84" s="490" t="s">
        <v>79</v>
      </c>
      <c r="V84" s="490"/>
      <c r="W84" s="490"/>
      <c r="X84" s="490"/>
      <c r="Y84" s="490"/>
      <c r="Z84" s="118"/>
      <c r="AA84" s="14"/>
      <c r="AB84" s="118" t="str">
        <f>IF(Annexes!M9=FALSE,"Non",IF(Annexes!M6=1,"Non","Oui"))</f>
        <v>Non</v>
      </c>
      <c r="AC84" s="1"/>
      <c r="AD84" s="1"/>
      <c r="AE84" s="13"/>
    </row>
    <row r="85" spans="2:31" ht="15" hidden="1" customHeight="1">
      <c r="T85" s="14"/>
      <c r="U85" s="490" t="s">
        <v>80</v>
      </c>
      <c r="V85" s="490"/>
      <c r="W85" s="490"/>
      <c r="X85" s="490"/>
      <c r="Y85" s="490"/>
      <c r="Z85" s="130"/>
      <c r="AA85" s="14"/>
      <c r="AB85" s="37">
        <f>IF('Mon Entreprise'!K8&gt;=Annexes!O20,IF(AB77&gt;=AB79,AB77,AB79),IF(AB77&gt;=AB78,AB77,AB78))</f>
        <v>0</v>
      </c>
      <c r="AC85" s="1"/>
      <c r="AD85" s="1"/>
      <c r="AE85" s="13"/>
    </row>
    <row r="86" spans="2:31" ht="15.75" customHeight="1">
      <c r="B86" s="5"/>
      <c r="C86" s="5"/>
      <c r="D86" s="5"/>
      <c r="T86" s="14"/>
      <c r="U86" s="291"/>
      <c r="V86" s="291"/>
      <c r="W86" s="291"/>
      <c r="X86" s="291"/>
      <c r="Y86" s="291"/>
      <c r="Z86" s="130"/>
      <c r="AA86" s="1"/>
      <c r="AB86" s="37"/>
      <c r="AC86" s="1"/>
      <c r="AD86" s="1"/>
      <c r="AE86" s="13"/>
    </row>
    <row r="87" spans="2:31" ht="15" customHeight="1" thickBot="1">
      <c r="B87" s="220"/>
      <c r="C87" s="488" t="s">
        <v>30</v>
      </c>
      <c r="D87" s="488"/>
      <c r="E87" s="488"/>
      <c r="F87" s="488"/>
      <c r="G87" s="488"/>
      <c r="H87" s="488"/>
      <c r="I87" s="221"/>
      <c r="J87" s="221"/>
      <c r="K87" s="221"/>
      <c r="L87" s="221"/>
      <c r="M87" s="221"/>
      <c r="N87" s="221"/>
      <c r="O87" s="221"/>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c r="B89" s="103"/>
      <c r="C89" s="489" t="s">
        <v>96</v>
      </c>
      <c r="D89" s="489"/>
      <c r="E89" s="489"/>
      <c r="F89" s="489"/>
      <c r="G89" s="489"/>
      <c r="H89" s="489"/>
      <c r="I89" s="489"/>
      <c r="J89" s="489"/>
      <c r="K89" s="489"/>
      <c r="L89" s="489"/>
      <c r="M89" s="489"/>
      <c r="N89" s="489"/>
      <c r="O89" s="489"/>
      <c r="P89" s="1"/>
      <c r="Q89" s="1"/>
      <c r="T89" s="14"/>
      <c r="U89" s="1"/>
      <c r="V89" s="1"/>
      <c r="W89" s="1"/>
      <c r="X89" s="1"/>
      <c r="Y89" s="1"/>
      <c r="Z89" s="1"/>
      <c r="AA89" s="1"/>
      <c r="AB89" s="1"/>
      <c r="AC89" s="1"/>
      <c r="AD89" s="1"/>
      <c r="AE89" s="13"/>
    </row>
    <row r="90" spans="2:31" ht="15.75">
      <c r="B90" s="103"/>
      <c r="C90" s="120"/>
      <c r="D90" s="60" t="s">
        <v>26</v>
      </c>
      <c r="E90" s="120"/>
      <c r="F90" s="120"/>
      <c r="G90" s="120"/>
      <c r="H90" s="120"/>
      <c r="I90" s="120"/>
      <c r="J90" s="120"/>
      <c r="K90" s="120"/>
      <c r="L90" s="120"/>
      <c r="M90" s="120"/>
      <c r="N90" s="120"/>
      <c r="O90" s="120"/>
      <c r="P90" s="1"/>
      <c r="Q90" s="1"/>
      <c r="T90" s="14"/>
      <c r="U90" s="1"/>
      <c r="V90" s="1"/>
      <c r="W90" s="1"/>
      <c r="X90" s="1"/>
      <c r="Y90" s="1"/>
      <c r="Z90" s="1"/>
      <c r="AA90" s="1"/>
      <c r="AB90" s="1"/>
      <c r="AC90" s="1"/>
      <c r="AD90" s="1"/>
      <c r="AE90" s="13"/>
    </row>
    <row r="91" spans="2:31" ht="16.5"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c r="B92" s="24"/>
      <c r="C92" s="24"/>
      <c r="D92" s="492"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93"/>
      <c r="F92" s="493"/>
      <c r="G92" s="493"/>
      <c r="H92" s="493"/>
      <c r="I92" s="493"/>
      <c r="J92" s="493"/>
      <c r="K92" s="493"/>
      <c r="L92" s="493"/>
      <c r="M92" s="493"/>
      <c r="N92" s="493"/>
      <c r="O92" s="494"/>
      <c r="P92" s="1"/>
      <c r="Q92" s="1"/>
      <c r="R92" s="1"/>
      <c r="S92" s="1"/>
      <c r="T92" s="25"/>
      <c r="U92" s="490" t="s">
        <v>20</v>
      </c>
      <c r="V92" s="490"/>
      <c r="W92" s="490"/>
      <c r="X92" s="1"/>
      <c r="Y92" s="117" t="s">
        <v>6</v>
      </c>
      <c r="Z92" s="117"/>
      <c r="AA92" s="117"/>
      <c r="AB92" s="117" t="s">
        <v>23</v>
      </c>
      <c r="AC92" s="117"/>
      <c r="AD92" s="117"/>
      <c r="AE92" s="26" t="s">
        <v>24</v>
      </c>
    </row>
    <row r="93" spans="2:31" ht="15.75">
      <c r="B93" s="24"/>
      <c r="C93" s="24"/>
      <c r="D93" s="495"/>
      <c r="E93" s="496"/>
      <c r="F93" s="496"/>
      <c r="G93" s="496"/>
      <c r="H93" s="496"/>
      <c r="I93" s="496"/>
      <c r="J93" s="496"/>
      <c r="K93" s="496"/>
      <c r="L93" s="496"/>
      <c r="M93" s="496"/>
      <c r="N93" s="496"/>
      <c r="O93" s="497"/>
      <c r="P93" s="1"/>
      <c r="Q93" s="1"/>
      <c r="R93" s="1"/>
      <c r="S93" s="1"/>
      <c r="T93" s="25"/>
      <c r="U93" s="117"/>
      <c r="V93" s="117"/>
      <c r="W93" s="117"/>
      <c r="X93" s="1"/>
      <c r="Y93" s="117"/>
      <c r="Z93" s="117"/>
      <c r="AA93" s="117"/>
      <c r="AB93" s="117"/>
      <c r="AC93" s="117"/>
      <c r="AD93" s="117"/>
      <c r="AE93" s="26"/>
    </row>
    <row r="94" spans="2:31" ht="15.75" customHeight="1">
      <c r="B94" s="24"/>
      <c r="C94" s="24"/>
      <c r="D94" s="495"/>
      <c r="E94" s="496"/>
      <c r="F94" s="496"/>
      <c r="G94" s="496"/>
      <c r="H94" s="496"/>
      <c r="I94" s="496"/>
      <c r="J94" s="496"/>
      <c r="K94" s="496"/>
      <c r="L94" s="496"/>
      <c r="M94" s="496"/>
      <c r="N94" s="496"/>
      <c r="O94" s="497"/>
      <c r="P94" s="1"/>
      <c r="Q94" s="1"/>
      <c r="R94" s="1"/>
      <c r="S94" s="1"/>
      <c r="T94" s="491" t="s">
        <v>98</v>
      </c>
      <c r="U94" s="490"/>
      <c r="V94" s="490"/>
      <c r="W94" s="490"/>
      <c r="X94" s="1"/>
      <c r="Y94" s="7">
        <f>'Mon Entreprise'!I114</f>
        <v>0</v>
      </c>
      <c r="Z94" s="133"/>
      <c r="AA94" s="21"/>
      <c r="AB94" s="7">
        <f>IF('Mon Entreprise'!I114-'Mon Entreprise'!M114&lt;0,0,'Mon Entreprise'!I114-'Mon Entreprise'!M114)</f>
        <v>0</v>
      </c>
      <c r="AC94" s="13"/>
      <c r="AD94" s="1"/>
      <c r="AE94" s="27">
        <f>IFERROR(1-'Mon Entreprise'!M114/'Mon Entreprise'!I114,0)</f>
        <v>0</v>
      </c>
    </row>
    <row r="95" spans="2:31" ht="15.75">
      <c r="B95" s="24"/>
      <c r="C95" s="24"/>
      <c r="D95" s="495"/>
      <c r="E95" s="496"/>
      <c r="F95" s="496"/>
      <c r="G95" s="496"/>
      <c r="H95" s="496"/>
      <c r="I95" s="496"/>
      <c r="J95" s="496"/>
      <c r="K95" s="496"/>
      <c r="L95" s="496"/>
      <c r="M95" s="496"/>
      <c r="N95" s="496"/>
      <c r="O95" s="497"/>
      <c r="P95" s="1"/>
      <c r="Q95" s="109"/>
      <c r="R95" s="1"/>
      <c r="S95" s="1"/>
      <c r="T95" s="491" t="s">
        <v>25</v>
      </c>
      <c r="U95" s="490"/>
      <c r="V95" s="490"/>
      <c r="W95" s="490"/>
      <c r="X95" s="1"/>
      <c r="Y95" s="7">
        <f>'Mon Entreprise'!I98</f>
        <v>0</v>
      </c>
      <c r="Z95" s="133"/>
      <c r="AA95" s="21"/>
      <c r="AB95" s="7">
        <f>IF('Mon Entreprise'!I98-'Mon Entreprise'!M114&lt;0,0,'Mon Entreprise'!I98-'Mon Entreprise'!M114)</f>
        <v>0</v>
      </c>
      <c r="AC95" s="36"/>
      <c r="AD95" s="1"/>
      <c r="AE95" s="27">
        <f>IFERROR(1-'Mon Entreprise'!M114/'Mon Entreprise'!I98,0)</f>
        <v>0</v>
      </c>
    </row>
    <row r="96" spans="2:31" ht="15.75" customHeight="1" thickBot="1">
      <c r="B96" s="24"/>
      <c r="C96" s="24"/>
      <c r="D96" s="498"/>
      <c r="E96" s="499"/>
      <c r="F96" s="499"/>
      <c r="G96" s="499"/>
      <c r="H96" s="499"/>
      <c r="I96" s="499"/>
      <c r="J96" s="499"/>
      <c r="K96" s="499"/>
      <c r="L96" s="499"/>
      <c r="M96" s="499"/>
      <c r="N96" s="499"/>
      <c r="O96" s="500"/>
      <c r="P96" s="1"/>
      <c r="Q96" s="1"/>
      <c r="R96" s="109"/>
      <c r="S96" s="109"/>
      <c r="T96" s="491" t="s">
        <v>22</v>
      </c>
      <c r="U96" s="490"/>
      <c r="V96" s="490"/>
      <c r="W96" s="490"/>
      <c r="X96" s="1"/>
      <c r="Y96" s="18" t="str">
        <f>IF('Mon Entreprise'!I176="","NC",'Mon Entreprise'!I176)</f>
        <v>NC</v>
      </c>
      <c r="Z96" s="134"/>
      <c r="AA96" s="21"/>
      <c r="AB96" s="37" t="str">
        <f>IFERROR(IF('Mon Entreprise'!I176-'Mon Entreprise'!M114&lt;0,0,'Mon Entreprise'!I176-'Mon Entreprise'!M114),"NC")</f>
        <v>NC</v>
      </c>
      <c r="AC96" s="135"/>
      <c r="AD96" s="1"/>
      <c r="AE96" s="28" t="str">
        <f>IFERROR(1-'Mon Entreprise'!M114/'Mon Entreprise'!I176,"NC")</f>
        <v>NC</v>
      </c>
    </row>
    <row r="97" spans="2:32" hidden="1">
      <c r="B97" s="8"/>
      <c r="C97" s="79"/>
      <c r="D97" s="79"/>
      <c r="E97" s="78"/>
      <c r="F97" s="78"/>
      <c r="G97" s="78"/>
      <c r="H97" s="78"/>
      <c r="I97" s="78"/>
      <c r="J97" s="78"/>
      <c r="K97" s="78"/>
      <c r="L97" s="78"/>
      <c r="M97" s="78"/>
      <c r="N97" s="78"/>
      <c r="O97" s="78"/>
      <c r="Q97" s="1"/>
      <c r="R97" s="1"/>
      <c r="S97" s="1"/>
      <c r="T97" s="164"/>
      <c r="U97" s="161"/>
      <c r="V97" s="161"/>
      <c r="W97" s="161"/>
      <c r="X97" s="1"/>
      <c r="Y97" s="18"/>
      <c r="Z97" s="23"/>
      <c r="AA97" s="21"/>
      <c r="AB97" s="37"/>
      <c r="AC97" s="161"/>
      <c r="AD97" s="1"/>
      <c r="AE97" s="28"/>
      <c r="AF97" s="99"/>
    </row>
    <row r="98" spans="2:32" hidden="1">
      <c r="Q98" s="1"/>
      <c r="R98" s="1"/>
      <c r="S98" s="1"/>
      <c r="T98" s="14"/>
      <c r="U98" s="1"/>
      <c r="V98" s="1"/>
      <c r="W98" s="1"/>
      <c r="X98" s="1"/>
      <c r="Y98" s="1"/>
      <c r="Z98" s="1"/>
      <c r="AA98" s="1"/>
      <c r="AB98" s="1"/>
      <c r="AC98" s="1"/>
      <c r="AD98" s="1"/>
      <c r="AE98" s="13"/>
    </row>
    <row r="99" spans="2:32" hidden="1">
      <c r="C99" s="60" t="s">
        <v>62</v>
      </c>
      <c r="D99" s="60"/>
      <c r="E99" s="60"/>
      <c r="F99" s="60"/>
      <c r="G99" s="60"/>
      <c r="H99" s="60"/>
      <c r="I99" s="60"/>
      <c r="J99" s="40"/>
      <c r="K99" s="40"/>
      <c r="L99" s="40"/>
      <c r="M99" s="40"/>
      <c r="N99" s="40"/>
      <c r="O99" s="40"/>
      <c r="R99" s="1"/>
      <c r="S99" s="1"/>
      <c r="T99" s="14"/>
      <c r="U99" s="506" t="s">
        <v>72</v>
      </c>
      <c r="V99" s="506"/>
      <c r="W99" s="506"/>
      <c r="X99" s="506"/>
      <c r="Y99" s="506"/>
      <c r="Z99" s="1"/>
      <c r="AA99" s="14"/>
      <c r="AB99" s="118" t="str">
        <f>IF('Mon Entreprise'!K8&lt;=Annexes!Q24,"Oui","Non")</f>
        <v>Oui</v>
      </c>
      <c r="AC99" s="1"/>
      <c r="AD99" s="1"/>
      <c r="AE99" s="13"/>
    </row>
    <row r="100" spans="2:32" hidden="1">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506" t="s">
        <v>84</v>
      </c>
      <c r="V100" s="506"/>
      <c r="W100" s="506"/>
      <c r="X100" s="506"/>
      <c r="Y100" s="506"/>
      <c r="Z100" s="1"/>
      <c r="AA100" s="14"/>
      <c r="AB100" s="118">
        <f>IF('Mon Entreprise'!K8&gt;=Annexes!O20,IF(AB94&gt;=AB96,AB94,AB96),IF(AB94&gt;=AB95,AB94,AB95))</f>
        <v>0</v>
      </c>
      <c r="AC100" s="1"/>
      <c r="AD100" s="1"/>
      <c r="AE100" s="13"/>
    </row>
    <row r="101" spans="2:32" ht="15" hidden="1" customHeight="1" thickBot="1">
      <c r="T101" s="14"/>
      <c r="U101" s="506" t="s">
        <v>85</v>
      </c>
      <c r="V101" s="506"/>
      <c r="W101" s="506"/>
      <c r="X101" s="506"/>
      <c r="Y101" s="506"/>
      <c r="Z101" s="1"/>
      <c r="AA101" s="14"/>
      <c r="AB101" s="19">
        <f>IF('Mon Entreprise'!K8&gt;=Annexes!O20,IF(AB94&gt;=AB96,AE94,AE96),IF(AB94&gt;=AB95,AE94,AE95))</f>
        <v>0</v>
      </c>
      <c r="AC101" s="1"/>
      <c r="AD101" s="1"/>
      <c r="AE101" s="13"/>
    </row>
    <row r="102" spans="2:32" ht="15" hidden="1" customHeight="1">
      <c r="D102" s="508"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509"/>
      <c r="F102" s="509"/>
      <c r="G102" s="509"/>
      <c r="H102" s="509"/>
      <c r="I102" s="509"/>
      <c r="J102" s="509"/>
      <c r="K102" s="509"/>
      <c r="L102" s="509"/>
      <c r="M102" s="509"/>
      <c r="N102" s="509"/>
      <c r="O102" s="510"/>
      <c r="T102" s="14"/>
      <c r="U102" s="162"/>
      <c r="V102" s="162"/>
      <c r="W102" s="162"/>
      <c r="X102" s="162"/>
      <c r="Y102" s="162"/>
      <c r="Z102" s="1"/>
      <c r="AA102" s="1"/>
      <c r="AB102" s="19"/>
      <c r="AC102" s="1"/>
      <c r="AD102" s="1"/>
      <c r="AE102" s="13"/>
    </row>
    <row r="103" spans="2:32" ht="15" hidden="1" customHeight="1">
      <c r="D103" s="511"/>
      <c r="E103" s="512"/>
      <c r="F103" s="512"/>
      <c r="G103" s="512"/>
      <c r="H103" s="512"/>
      <c r="I103" s="512"/>
      <c r="J103" s="512"/>
      <c r="K103" s="512"/>
      <c r="L103" s="512"/>
      <c r="M103" s="512"/>
      <c r="N103" s="512"/>
      <c r="O103" s="513"/>
      <c r="T103" s="14"/>
      <c r="U103" s="162"/>
      <c r="V103" s="162"/>
      <c r="W103" s="162"/>
      <c r="X103" s="162"/>
      <c r="Y103" s="162"/>
      <c r="Z103" s="1"/>
      <c r="AA103" s="1"/>
      <c r="AB103" s="19"/>
      <c r="AC103" s="1"/>
      <c r="AD103" s="1"/>
      <c r="AE103" s="13"/>
    </row>
    <row r="104" spans="2:32" ht="15" hidden="1" customHeight="1">
      <c r="D104" s="511"/>
      <c r="E104" s="512"/>
      <c r="F104" s="512"/>
      <c r="G104" s="512"/>
      <c r="H104" s="512"/>
      <c r="I104" s="512"/>
      <c r="J104" s="512"/>
      <c r="K104" s="512"/>
      <c r="L104" s="512"/>
      <c r="M104" s="512"/>
      <c r="N104" s="512"/>
      <c r="O104" s="513"/>
      <c r="T104" s="14"/>
      <c r="U104" s="490"/>
      <c r="V104" s="490"/>
      <c r="W104" s="490"/>
      <c r="X104" s="490"/>
      <c r="Y104" s="490"/>
      <c r="Z104" s="1"/>
      <c r="AA104" s="1"/>
      <c r="AB104" s="118"/>
      <c r="AC104" s="1"/>
      <c r="AD104" s="1"/>
      <c r="AE104" s="13"/>
    </row>
    <row r="105" spans="2:32" ht="15" hidden="1" customHeight="1" thickBot="1">
      <c r="D105" s="514"/>
      <c r="E105" s="515"/>
      <c r="F105" s="515"/>
      <c r="G105" s="515"/>
      <c r="H105" s="515"/>
      <c r="I105" s="515"/>
      <c r="J105" s="515"/>
      <c r="K105" s="515"/>
      <c r="L105" s="515"/>
      <c r="M105" s="515"/>
      <c r="N105" s="515"/>
      <c r="O105" s="516"/>
      <c r="T105" s="14"/>
      <c r="U105" s="1"/>
      <c r="V105" s="1"/>
      <c r="W105" s="1"/>
      <c r="X105" s="1"/>
      <c r="Y105" s="1"/>
      <c r="Z105" s="1"/>
      <c r="AA105" s="1"/>
      <c r="AB105" s="118"/>
      <c r="AC105" s="1"/>
      <c r="AD105" s="1"/>
      <c r="AE105" s="13"/>
    </row>
    <row r="106" spans="2:32" ht="15" hidden="1" customHeight="1">
      <c r="C106" s="78"/>
      <c r="D106" s="78"/>
      <c r="E106" s="78"/>
      <c r="F106" s="78"/>
      <c r="G106" s="78"/>
      <c r="H106" s="78"/>
      <c r="I106" s="78"/>
      <c r="J106" s="78"/>
      <c r="K106" s="78"/>
      <c r="L106" s="78"/>
      <c r="M106" s="78"/>
      <c r="N106" s="78"/>
      <c r="O106" s="78"/>
      <c r="T106" s="536" t="s">
        <v>4</v>
      </c>
      <c r="U106" s="521"/>
      <c r="V106" s="521"/>
      <c r="W106" s="521"/>
      <c r="X106" s="521"/>
      <c r="Y106" s="521"/>
      <c r="Z106" s="1"/>
      <c r="AA106" s="14"/>
      <c r="AB106" s="132">
        <f>IFERROR(IF('Mon Entreprise'!K8&lt;Annexes!O17,IF(IFERROR(1-'Mon Entreprise'!M118/'Mon Entreprise'!I118,0)&gt;=IFERROR(1-'Mon Entreprise'!M118/('Mon Entreprise'!I98*2),0),1-'Mon Entreprise'!M118/'Mon Entreprise'!I118,1-'Mon Entreprise'!M118/('Mon Entreprise'!I98*2)),1-'Mon Entreprise'!M118/'Mon Entreprise'!I190),0)</f>
        <v>0</v>
      </c>
      <c r="AC106" s="1"/>
      <c r="AD106" s="1"/>
      <c r="AE106" s="13"/>
    </row>
    <row r="107" spans="2:32" ht="15.75" hidden="1" customHeight="1">
      <c r="T107" s="14"/>
      <c r="U107" s="521" t="s">
        <v>8</v>
      </c>
      <c r="V107" s="521"/>
      <c r="W107" s="521"/>
      <c r="X107" s="521"/>
      <c r="Y107" s="521"/>
      <c r="Z107" s="1"/>
      <c r="AA107" s="14"/>
      <c r="AB107" s="19" t="str">
        <f>IF((AND(Annexes!F5&gt;1,Annexes!F5&lt;=Annexes!H6)),"OUI","NON")</f>
        <v>NON</v>
      </c>
      <c r="AC107" s="1"/>
      <c r="AD107" s="1"/>
      <c r="AE107" s="13"/>
    </row>
    <row r="108" spans="2:32" ht="15" hidden="1" customHeight="1">
      <c r="C108" s="547" t="s">
        <v>101</v>
      </c>
      <c r="D108" s="547"/>
      <c r="E108" s="547"/>
      <c r="F108" s="547"/>
      <c r="G108" s="547"/>
      <c r="H108" s="547"/>
      <c r="I108" s="547"/>
      <c r="J108" s="547"/>
      <c r="K108" s="547"/>
      <c r="L108" s="547"/>
      <c r="M108" s="547"/>
      <c r="N108" s="547"/>
      <c r="O108" s="547"/>
      <c r="P108" s="40"/>
      <c r="T108" s="14"/>
      <c r="U108" s="490" t="s">
        <v>9</v>
      </c>
      <c r="V108" s="490"/>
      <c r="W108" s="490"/>
      <c r="X108" s="490"/>
      <c r="Y108" s="490"/>
      <c r="Z108" s="1"/>
      <c r="AA108" s="14"/>
      <c r="AB108" s="19" t="str">
        <f>IF((AND(Annexes!F7&gt;1,Annexes!F7&lt;=Annexes!H8)),"OUI","NON")</f>
        <v>NON</v>
      </c>
      <c r="AC108" s="1"/>
      <c r="AD108" s="1"/>
      <c r="AE108" s="13"/>
    </row>
    <row r="109" spans="2:32" ht="15" hidden="1" customHeight="1">
      <c r="C109" s="547"/>
      <c r="D109" s="547"/>
      <c r="E109" s="547"/>
      <c r="F109" s="547"/>
      <c r="G109" s="547"/>
      <c r="H109" s="547"/>
      <c r="I109" s="547"/>
      <c r="J109" s="547"/>
      <c r="K109" s="547"/>
      <c r="L109" s="547"/>
      <c r="M109" s="547"/>
      <c r="N109" s="547"/>
      <c r="O109" s="547"/>
      <c r="P109" s="40"/>
      <c r="Q109" s="40"/>
      <c r="T109" s="14"/>
      <c r="U109" s="490" t="s">
        <v>12</v>
      </c>
      <c r="V109" s="490"/>
      <c r="W109" s="490"/>
      <c r="X109" s="490"/>
      <c r="Y109" s="490"/>
      <c r="Z109" s="1"/>
      <c r="AA109" s="14"/>
      <c r="AB109" s="19" t="b">
        <f>Annexes!M11</f>
        <v>0</v>
      </c>
      <c r="AC109" s="1"/>
      <c r="AD109" s="1"/>
      <c r="AE109" s="13"/>
    </row>
    <row r="110" spans="2:32" ht="15.75" hidden="1" customHeight="1">
      <c r="C110" s="60"/>
      <c r="E110" s="547"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547"/>
      <c r="G110" s="547"/>
      <c r="H110" s="547"/>
      <c r="I110" s="547"/>
      <c r="J110" s="547"/>
      <c r="K110" s="547"/>
      <c r="L110" s="547"/>
      <c r="M110" s="547"/>
      <c r="N110" s="547"/>
      <c r="O110" s="547"/>
      <c r="P110" s="40"/>
      <c r="Q110" s="40"/>
      <c r="T110" s="14"/>
      <c r="U110" s="506" t="s">
        <v>72</v>
      </c>
      <c r="V110" s="506"/>
      <c r="W110" s="506"/>
      <c r="X110" s="506"/>
      <c r="Y110" s="506"/>
      <c r="Z110" s="1"/>
      <c r="AA110" s="14"/>
      <c r="AB110" s="118" t="str">
        <f>IF('Mon Entreprise'!K8&lt;=Annexes!Q24,"Oui","Non")</f>
        <v>Oui</v>
      </c>
      <c r="AC110" s="1"/>
      <c r="AD110" s="1"/>
      <c r="AE110" s="13"/>
    </row>
    <row r="111" spans="2:32" ht="15" hidden="1" customHeight="1">
      <c r="C111" s="60"/>
      <c r="D111" s="131"/>
      <c r="E111" s="547"/>
      <c r="F111" s="547"/>
      <c r="G111" s="547"/>
      <c r="H111" s="547"/>
      <c r="I111" s="547"/>
      <c r="J111" s="547"/>
      <c r="K111" s="547"/>
      <c r="L111" s="547"/>
      <c r="M111" s="547"/>
      <c r="N111" s="547"/>
      <c r="O111" s="547"/>
      <c r="P111" s="40"/>
      <c r="Q111" s="40"/>
      <c r="T111" s="14"/>
      <c r="U111" s="506" t="s">
        <v>84</v>
      </c>
      <c r="V111" s="506"/>
      <c r="W111" s="506"/>
      <c r="X111" s="506"/>
      <c r="Y111" s="506"/>
      <c r="Z111" s="1"/>
      <c r="AA111" s="14"/>
      <c r="AB111" s="118">
        <f>IF('Mon Entreprise'!K8&gt;=Annexes!O20,IF(AB94&gt;=AB96,AB94,AB96),IF(AB94&gt;=AB95,AB94,AB95))</f>
        <v>0</v>
      </c>
      <c r="AC111" s="1"/>
      <c r="AD111" s="1"/>
      <c r="AE111" s="13"/>
    </row>
    <row r="112" spans="2:32" ht="15" hidden="1"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506" t="s">
        <v>85</v>
      </c>
      <c r="V112" s="506"/>
      <c r="W112" s="506"/>
      <c r="X112" s="506"/>
      <c r="Y112" s="506"/>
      <c r="Z112" s="1"/>
      <c r="AA112" s="14"/>
      <c r="AB112" s="19">
        <f>IF('Mon Entreprise'!K8&gt;=Annexes!O20,IF(AB94&gt;=AB96,AE94,AE96),IF(AB94&gt;=AB95,AE94,AE95))</f>
        <v>0</v>
      </c>
      <c r="AC112" s="1"/>
      <c r="AD112" s="1"/>
      <c r="AE112" s="13"/>
    </row>
    <row r="113" spans="2:31" ht="15" hidden="1"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90" t="s">
        <v>74</v>
      </c>
      <c r="V113" s="490"/>
      <c r="W113" s="490"/>
      <c r="X113" s="490"/>
      <c r="Y113" s="490"/>
      <c r="Z113" s="1"/>
      <c r="AA113" s="14"/>
      <c r="AB113" s="55">
        <f>IF(OR(AB107="OUI",AB109=TRUE),1,IF(AND(AB108="OUI",AB106&gt;=0.8),0.8,1))</f>
        <v>1</v>
      </c>
      <c r="AC113" s="1"/>
      <c r="AD113" s="1"/>
      <c r="AE113" s="13"/>
    </row>
    <row r="114" spans="2:31" ht="15" hidden="1" customHeight="1" thickBot="1">
      <c r="Q114" s="40"/>
      <c r="R114" s="40"/>
      <c r="T114" s="14"/>
      <c r="U114" s="490" t="s">
        <v>80</v>
      </c>
      <c r="V114" s="490"/>
      <c r="W114" s="490"/>
      <c r="X114" s="490"/>
      <c r="Y114" s="490"/>
      <c r="Z114" s="1"/>
      <c r="AA114" s="14"/>
      <c r="AB114" s="179">
        <f>IF('Mon Entreprise'!K8&gt;=Annexes!O20,IF(AB94&gt;=AB96,Y94,Y96),IF(AB94&gt;=AB95,Y94,Y95))</f>
        <v>0</v>
      </c>
      <c r="AC114" s="1"/>
      <c r="AD114" s="1"/>
      <c r="AE114" s="13"/>
    </row>
    <row r="115" spans="2:31" ht="15" hidden="1" customHeight="1">
      <c r="D115" s="508"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509"/>
      <c r="F115" s="509"/>
      <c r="G115" s="509"/>
      <c r="H115" s="509"/>
      <c r="I115" s="509"/>
      <c r="J115" s="509"/>
      <c r="K115" s="509"/>
      <c r="L115" s="509"/>
      <c r="M115" s="509"/>
      <c r="N115" s="509"/>
      <c r="O115" s="510"/>
      <c r="Q115" s="40"/>
      <c r="R115" s="40"/>
      <c r="T115" s="14"/>
      <c r="U115" s="490" t="s">
        <v>104</v>
      </c>
      <c r="V115" s="490"/>
      <c r="W115" s="490"/>
      <c r="X115" s="490"/>
      <c r="Y115" s="490"/>
      <c r="Z115" s="1"/>
      <c r="AA115" s="14"/>
      <c r="AB115" s="118">
        <f>IF(AB113=1,AB111,IF(AB111*AB113&gt;1500,IF(AB111&gt;1500,AB111*AB113,"Impossible"),IF(AB111&lt;1500,AB111,1500)))</f>
        <v>0</v>
      </c>
      <c r="AC115" s="1"/>
      <c r="AD115" s="1"/>
      <c r="AE115" s="13"/>
    </row>
    <row r="116" spans="2:31" ht="15" hidden="1" customHeight="1">
      <c r="D116" s="511"/>
      <c r="E116" s="512"/>
      <c r="F116" s="512"/>
      <c r="G116" s="512"/>
      <c r="H116" s="512"/>
      <c r="I116" s="512"/>
      <c r="J116" s="512"/>
      <c r="K116" s="512"/>
      <c r="L116" s="512"/>
      <c r="M116" s="512"/>
      <c r="N116" s="512"/>
      <c r="O116" s="513"/>
      <c r="Q116" s="40"/>
      <c r="R116" s="40"/>
      <c r="T116" s="14"/>
      <c r="U116" s="148"/>
      <c r="V116" s="148"/>
      <c r="W116" s="148"/>
      <c r="X116" s="148"/>
      <c r="Y116" s="148"/>
      <c r="Z116" s="1"/>
      <c r="AA116" s="1"/>
      <c r="AB116" s="148"/>
      <c r="AC116" s="1"/>
      <c r="AD116" s="1"/>
      <c r="AE116" s="13"/>
    </row>
    <row r="117" spans="2:31" ht="15" hidden="1" customHeight="1">
      <c r="D117" s="511"/>
      <c r="E117" s="512"/>
      <c r="F117" s="512"/>
      <c r="G117" s="512"/>
      <c r="H117" s="512"/>
      <c r="I117" s="512"/>
      <c r="J117" s="512"/>
      <c r="K117" s="512"/>
      <c r="L117" s="512"/>
      <c r="M117" s="512"/>
      <c r="N117" s="512"/>
      <c r="O117" s="513"/>
      <c r="Q117" s="40"/>
      <c r="R117" s="40"/>
      <c r="T117" s="14"/>
      <c r="U117" s="490" t="s">
        <v>82</v>
      </c>
      <c r="V117" s="490"/>
      <c r="W117" s="490"/>
      <c r="X117" s="490"/>
      <c r="Y117" s="490"/>
      <c r="Z117" s="1"/>
      <c r="AA117" s="14"/>
      <c r="AB117" s="118">
        <f>IF(AB99="Non",0,IF(AB101&gt;=0.5,IF(AB100&gt;Annexes!O5,Annexes!O5,ROUND(AB100,0)),0))</f>
        <v>0</v>
      </c>
      <c r="AC117" s="1"/>
      <c r="AD117" s="1"/>
      <c r="AE117" s="13"/>
    </row>
    <row r="118" spans="2:31" ht="15" hidden="1" customHeight="1" thickBot="1">
      <c r="D118" s="514"/>
      <c r="E118" s="515"/>
      <c r="F118" s="515"/>
      <c r="G118" s="515"/>
      <c r="H118" s="515"/>
      <c r="I118" s="515"/>
      <c r="J118" s="515"/>
      <c r="K118" s="515"/>
      <c r="L118" s="515"/>
      <c r="M118" s="515"/>
      <c r="N118" s="515"/>
      <c r="O118" s="516"/>
      <c r="R118" s="40"/>
      <c r="T118" s="14"/>
      <c r="U118" s="490" t="s">
        <v>81</v>
      </c>
      <c r="V118" s="490"/>
      <c r="W118" s="490"/>
      <c r="X118" s="490"/>
      <c r="Y118" s="490"/>
      <c r="Z118" s="1"/>
      <c r="AA118" s="14"/>
      <c r="AB118" s="118">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hidden="1" customHeight="1">
      <c r="D119" s="53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530"/>
      <c r="F119" s="530"/>
      <c r="G119" s="530"/>
      <c r="H119" s="530"/>
      <c r="I119" s="530"/>
      <c r="J119" s="530"/>
      <c r="K119" s="530"/>
      <c r="L119" s="530"/>
      <c r="M119" s="530"/>
      <c r="N119" s="530"/>
      <c r="O119" s="530"/>
      <c r="R119" s="40"/>
      <c r="T119" s="14"/>
      <c r="U119" s="291"/>
      <c r="V119" s="291"/>
      <c r="W119" s="291"/>
      <c r="X119" s="291"/>
      <c r="Y119" s="291"/>
      <c r="Z119" s="1"/>
      <c r="AA119" s="1"/>
      <c r="AB119" s="291"/>
      <c r="AC119" s="1"/>
      <c r="AD119" s="1"/>
      <c r="AE119" s="13"/>
    </row>
    <row r="120" spans="2:31" ht="15" hidden="1" customHeight="1">
      <c r="D120" s="531"/>
      <c r="E120" s="531"/>
      <c r="F120" s="531"/>
      <c r="G120" s="531"/>
      <c r="H120" s="531"/>
      <c r="I120" s="531"/>
      <c r="J120" s="531"/>
      <c r="K120" s="531"/>
      <c r="L120" s="531"/>
      <c r="M120" s="531"/>
      <c r="N120" s="531"/>
      <c r="O120" s="531"/>
      <c r="R120" s="40"/>
      <c r="T120" s="14"/>
      <c r="U120" s="300"/>
      <c r="V120" s="300"/>
      <c r="W120" s="300"/>
      <c r="X120" s="300"/>
      <c r="Y120" s="300"/>
      <c r="Z120" s="1"/>
      <c r="AA120" s="1"/>
      <c r="AB120" s="300"/>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0"/>
      <c r="C122" s="488" t="s">
        <v>95</v>
      </c>
      <c r="D122" s="488"/>
      <c r="E122" s="488"/>
      <c r="F122" s="488"/>
      <c r="G122" s="488"/>
      <c r="H122" s="488"/>
      <c r="I122" s="221"/>
      <c r="J122" s="221"/>
      <c r="K122" s="221"/>
      <c r="L122" s="221"/>
      <c r="M122" s="221"/>
      <c r="N122" s="221"/>
      <c r="O122" s="221"/>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c r="B124" s="103"/>
      <c r="C124" s="489" t="s">
        <v>115</v>
      </c>
      <c r="D124" s="489"/>
      <c r="E124" s="489"/>
      <c r="F124" s="489"/>
      <c r="G124" s="489"/>
      <c r="H124" s="489"/>
      <c r="I124" s="489"/>
      <c r="J124" s="489"/>
      <c r="K124" s="489"/>
      <c r="L124" s="489"/>
      <c r="M124" s="489"/>
      <c r="N124" s="489"/>
      <c r="O124" s="489"/>
      <c r="P124" s="1"/>
      <c r="T124" s="25"/>
      <c r="U124" s="490" t="s">
        <v>20</v>
      </c>
      <c r="V124" s="490"/>
      <c r="W124" s="490"/>
      <c r="X124" s="1"/>
      <c r="Y124" s="165" t="s">
        <v>6</v>
      </c>
      <c r="Z124" s="165"/>
      <c r="AA124" s="165"/>
      <c r="AB124" s="165" t="s">
        <v>23</v>
      </c>
      <c r="AC124" s="165"/>
      <c r="AD124" s="165"/>
      <c r="AE124" s="26" t="s">
        <v>24</v>
      </c>
    </row>
    <row r="125" spans="2:31" ht="15.75" customHeight="1">
      <c r="B125" s="103"/>
      <c r="C125" s="190"/>
      <c r="D125" s="60" t="s">
        <v>26</v>
      </c>
      <c r="E125" s="190"/>
      <c r="F125" s="190"/>
      <c r="G125" s="190"/>
      <c r="H125" s="190"/>
      <c r="I125" s="190"/>
      <c r="J125" s="190"/>
      <c r="K125" s="190"/>
      <c r="L125" s="190"/>
      <c r="M125" s="190"/>
      <c r="N125" s="190"/>
      <c r="O125" s="190"/>
      <c r="P125" s="1"/>
      <c r="T125" s="25"/>
      <c r="U125" s="165"/>
      <c r="V125" s="165"/>
      <c r="W125" s="165"/>
      <c r="X125" s="1"/>
      <c r="Y125" s="165"/>
      <c r="Z125" s="165"/>
      <c r="AA125" s="165"/>
      <c r="AB125" s="165"/>
      <c r="AC125" s="165"/>
      <c r="AD125" s="165"/>
      <c r="AE125" s="26"/>
    </row>
    <row r="126" spans="2:31" ht="16.5" thickBot="1">
      <c r="B126" s="103"/>
      <c r="C126" s="163"/>
      <c r="D126" s="60"/>
      <c r="E126" s="163"/>
      <c r="F126" s="163"/>
      <c r="G126" s="163"/>
      <c r="H126" s="163"/>
      <c r="I126" s="163"/>
      <c r="J126" s="163"/>
      <c r="K126" s="163"/>
      <c r="L126" s="163"/>
      <c r="M126" s="163"/>
      <c r="N126" s="163"/>
      <c r="O126" s="163"/>
      <c r="P126" s="1"/>
      <c r="T126" s="491" t="s">
        <v>99</v>
      </c>
      <c r="U126" s="490"/>
      <c r="V126" s="490"/>
      <c r="W126" s="490"/>
      <c r="X126" s="1"/>
      <c r="Y126" s="7">
        <f>'Mon Entreprise'!I116</f>
        <v>0</v>
      </c>
      <c r="Z126" s="133"/>
      <c r="AA126" s="21"/>
      <c r="AB126" s="7">
        <f>IF('Mon Entreprise'!I116-'Mon Entreprise'!M116&lt;0,0,'Mon Entreprise'!I116-'Mon Entreprise'!M116)</f>
        <v>0</v>
      </c>
      <c r="AC126" s="13"/>
      <c r="AD126" s="1"/>
      <c r="AE126" s="27">
        <f>IFERROR(1-'Mon Entreprise'!M116/'Mon Entreprise'!I116,0)</f>
        <v>0</v>
      </c>
    </row>
    <row r="127" spans="2:31" ht="15.75">
      <c r="B127" s="103"/>
      <c r="C127" s="163"/>
      <c r="D127" s="492"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93"/>
      <c r="F127" s="493"/>
      <c r="G127" s="493"/>
      <c r="H127" s="493"/>
      <c r="I127" s="493"/>
      <c r="J127" s="493"/>
      <c r="K127" s="493"/>
      <c r="L127" s="493"/>
      <c r="M127" s="493"/>
      <c r="N127" s="493"/>
      <c r="O127" s="494"/>
      <c r="P127" s="1"/>
      <c r="T127" s="491" t="s">
        <v>25</v>
      </c>
      <c r="U127" s="490"/>
      <c r="V127" s="490"/>
      <c r="W127" s="490"/>
      <c r="X127" s="1"/>
      <c r="Y127" s="7">
        <f>'Mon Entreprise'!I98</f>
        <v>0</v>
      </c>
      <c r="Z127" s="133"/>
      <c r="AA127" s="21"/>
      <c r="AB127" s="7">
        <f>IF('Mon Entreprise'!I98-'Mon Entreprise'!M116&lt;0,0,'Mon Entreprise'!I98-'Mon Entreprise'!M116)</f>
        <v>0</v>
      </c>
      <c r="AC127" s="36"/>
      <c r="AD127" s="1"/>
      <c r="AE127" s="27">
        <f>IFERROR(1-'Mon Entreprise'!M116/'Mon Entreprise'!I98,0)</f>
        <v>0</v>
      </c>
    </row>
    <row r="128" spans="2:31" ht="15.75" customHeight="1">
      <c r="B128" s="103"/>
      <c r="C128" s="163"/>
      <c r="D128" s="495"/>
      <c r="E128" s="496"/>
      <c r="F128" s="496"/>
      <c r="G128" s="496"/>
      <c r="H128" s="496"/>
      <c r="I128" s="496"/>
      <c r="J128" s="496"/>
      <c r="K128" s="496"/>
      <c r="L128" s="496"/>
      <c r="M128" s="496"/>
      <c r="N128" s="496"/>
      <c r="O128" s="497"/>
      <c r="P128" s="1"/>
      <c r="T128" s="501" t="s">
        <v>22</v>
      </c>
      <c r="U128" s="502"/>
      <c r="V128" s="502"/>
      <c r="W128" s="502"/>
      <c r="X128" s="139"/>
      <c r="Y128" s="140" t="str">
        <f>IF('Mon Entreprise'!I169="","NC",'Mon Entreprise'!I169)</f>
        <v>NC</v>
      </c>
      <c r="Z128" s="191"/>
      <c r="AA128" s="192"/>
      <c r="AB128" s="143" t="str">
        <f>IFERROR(IF('Mon Entreprise'!I169-'Mon Entreprise'!M116&lt;0,0,'Mon Entreprise'!I169-'Mon Entreprise'!M116),"NC")</f>
        <v>NC</v>
      </c>
      <c r="AC128" s="193"/>
      <c r="AD128" s="139"/>
      <c r="AE128" s="146" t="str">
        <f>IFERROR(1-'Mon Entreprise'!M116/'Mon Entreprise'!I169,"NC")</f>
        <v>NC</v>
      </c>
    </row>
    <row r="129" spans="2:31" ht="15.75" customHeight="1">
      <c r="B129" s="103"/>
      <c r="C129" s="163"/>
      <c r="D129" s="495"/>
      <c r="E129" s="496"/>
      <c r="F129" s="496"/>
      <c r="G129" s="496"/>
      <c r="H129" s="496"/>
      <c r="I129" s="496"/>
      <c r="J129" s="496"/>
      <c r="K129" s="496"/>
      <c r="L129" s="496"/>
      <c r="M129" s="496"/>
      <c r="N129" s="496"/>
      <c r="O129" s="497"/>
      <c r="P129" s="1"/>
      <c r="T129" s="14"/>
      <c r="U129" s="1"/>
      <c r="V129" s="1"/>
      <c r="W129" s="1"/>
      <c r="X129" s="1"/>
      <c r="Y129" s="1"/>
      <c r="Z129" s="1"/>
      <c r="AA129" s="1"/>
      <c r="AB129" s="1"/>
      <c r="AC129" s="1"/>
      <c r="AD129" s="1"/>
      <c r="AE129" s="13"/>
    </row>
    <row r="130" spans="2:31" ht="15.75" customHeight="1">
      <c r="B130" s="103"/>
      <c r="C130" s="163"/>
      <c r="D130" s="495"/>
      <c r="E130" s="496"/>
      <c r="F130" s="496"/>
      <c r="G130" s="496"/>
      <c r="H130" s="496"/>
      <c r="I130" s="496"/>
      <c r="J130" s="496"/>
      <c r="K130" s="496"/>
      <c r="L130" s="496"/>
      <c r="M130" s="496"/>
      <c r="N130" s="496"/>
      <c r="O130" s="497"/>
      <c r="P130" s="1"/>
      <c r="T130" s="14"/>
      <c r="AC130" s="1"/>
      <c r="AD130" s="1"/>
      <c r="AE130" s="13"/>
    </row>
    <row r="131" spans="2:31" ht="15.75" customHeight="1" thickBot="1">
      <c r="B131" s="103"/>
      <c r="C131" s="163"/>
      <c r="D131" s="498"/>
      <c r="E131" s="499"/>
      <c r="F131" s="499"/>
      <c r="G131" s="499"/>
      <c r="H131" s="499"/>
      <c r="I131" s="499"/>
      <c r="J131" s="499"/>
      <c r="K131" s="499"/>
      <c r="L131" s="499"/>
      <c r="M131" s="499"/>
      <c r="N131" s="499"/>
      <c r="O131" s="500"/>
      <c r="P131" s="1"/>
      <c r="T131" s="14"/>
      <c r="AC131" s="1"/>
      <c r="AD131" s="1"/>
      <c r="AE131" s="13"/>
    </row>
    <row r="132" spans="2:31" ht="16.5" hidden="1" customHeight="1">
      <c r="B132" s="103"/>
      <c r="C132" s="163"/>
      <c r="D132" s="60"/>
      <c r="E132" s="163"/>
      <c r="F132" s="163"/>
      <c r="G132" s="163"/>
      <c r="H132" s="163"/>
      <c r="I132" s="163"/>
      <c r="J132" s="163"/>
      <c r="K132" s="163"/>
      <c r="L132" s="163"/>
      <c r="M132" s="163"/>
      <c r="N132" s="163"/>
      <c r="O132" s="163"/>
      <c r="P132" s="1"/>
      <c r="T132" s="14"/>
      <c r="AC132" s="1"/>
      <c r="AD132" s="1"/>
      <c r="AE132" s="13"/>
    </row>
    <row r="133" spans="2:31" ht="15.75" hidden="1">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hidden="1">
      <c r="B134" s="103"/>
      <c r="C134" s="163"/>
      <c r="D134" s="60"/>
      <c r="E134" s="163"/>
      <c r="F134" s="163"/>
      <c r="G134" s="163"/>
      <c r="H134" s="163"/>
      <c r="I134" s="163"/>
      <c r="J134" s="163"/>
      <c r="K134" s="163"/>
      <c r="L134" s="163"/>
      <c r="M134" s="163"/>
      <c r="N134" s="163"/>
      <c r="O134" s="163"/>
      <c r="P134" s="1"/>
      <c r="T134" s="14"/>
      <c r="U134" s="506" t="s">
        <v>72</v>
      </c>
      <c r="V134" s="506"/>
      <c r="W134" s="506"/>
      <c r="X134" s="506"/>
      <c r="Y134" s="506"/>
      <c r="Z134" s="1"/>
      <c r="AA134" s="14"/>
      <c r="AB134" s="189" t="str">
        <f>IF('Mon Entreprise'!K8&lt;=Annexes!Q24,"Oui","Non")</f>
        <v>Oui</v>
      </c>
      <c r="AC134" s="1"/>
      <c r="AD134" s="1"/>
      <c r="AE134" s="13"/>
    </row>
    <row r="135" spans="2:31" ht="15.75" hidden="1">
      <c r="B135" s="103"/>
      <c r="C135" s="163" t="s">
        <v>100</v>
      </c>
      <c r="D135" s="60"/>
      <c r="E135" s="163"/>
      <c r="F135" s="163"/>
      <c r="G135" s="163"/>
      <c r="H135" s="163"/>
      <c r="I135" s="163"/>
      <c r="J135" s="163"/>
      <c r="K135" s="163"/>
      <c r="L135" s="163"/>
      <c r="M135" s="163"/>
      <c r="N135" s="163"/>
      <c r="O135" s="163"/>
      <c r="P135" s="1"/>
      <c r="T135" s="14"/>
      <c r="U135" s="293"/>
      <c r="V135" s="506" t="s">
        <v>393</v>
      </c>
      <c r="W135" s="506"/>
      <c r="X135" s="506"/>
      <c r="Y135" s="506"/>
      <c r="Z135" s="1"/>
      <c r="AA135" s="14"/>
      <c r="AB135" s="292">
        <f>IF('Mon Entreprise'!K8&gt;=Annexes!O20,IF(Y126&gt;=Y128,Y126,Y128),IF(Y126&gt;=Y127,Y126,Y127))</f>
        <v>0</v>
      </c>
      <c r="AC135" s="1"/>
      <c r="AD135" s="1"/>
      <c r="AE135" s="13"/>
    </row>
    <row r="136" spans="2:31" ht="15.75" hidden="1">
      <c r="B136" s="168"/>
      <c r="C136" s="163"/>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163"/>
      <c r="F136" s="163"/>
      <c r="G136" s="163"/>
      <c r="H136" s="163"/>
      <c r="I136" s="163"/>
      <c r="J136" s="163"/>
      <c r="K136" s="163"/>
      <c r="L136" s="163"/>
      <c r="M136" s="163"/>
      <c r="N136" s="163"/>
      <c r="O136" s="163"/>
      <c r="P136" s="1"/>
      <c r="T136" s="14"/>
      <c r="U136" s="506" t="s">
        <v>84</v>
      </c>
      <c r="V136" s="506"/>
      <c r="W136" s="506"/>
      <c r="X136" s="506"/>
      <c r="Y136" s="506"/>
      <c r="Z136" s="1"/>
      <c r="AA136" s="14"/>
      <c r="AB136" s="161">
        <f>IF('Mon Entreprise'!K8&gt;=Annexes!O20,IF(AB126&gt;=AB128,AB126,AB128),IF(AB126&gt;=AB127,AB126,AB127))</f>
        <v>0</v>
      </c>
      <c r="AC136" s="1"/>
      <c r="AD136" s="1"/>
      <c r="AE136" s="13"/>
    </row>
    <row r="137" spans="2:31" ht="16.5" hidden="1" thickBot="1">
      <c r="B137" s="103"/>
      <c r="C137" s="163"/>
      <c r="D137" s="60"/>
      <c r="E137" s="163"/>
      <c r="F137" s="163"/>
      <c r="G137" s="163"/>
      <c r="H137" s="163"/>
      <c r="I137" s="163"/>
      <c r="J137" s="163"/>
      <c r="K137" s="163"/>
      <c r="L137" s="163"/>
      <c r="M137" s="163"/>
      <c r="N137" s="163"/>
      <c r="O137" s="163"/>
      <c r="P137" s="1"/>
      <c r="T137" s="14"/>
      <c r="U137" s="506" t="s">
        <v>85</v>
      </c>
      <c r="V137" s="506"/>
      <c r="W137" s="506"/>
      <c r="X137" s="506"/>
      <c r="Y137" s="506"/>
      <c r="Z137" s="1"/>
      <c r="AA137" s="14"/>
      <c r="AB137" s="19">
        <f>IF('Mon Entreprise'!K8&gt;=Annexes!O20,IF(AB126&gt;=AB128,AE126,AE128),IF(AB126&gt;=AB127,AE126,AE127))</f>
        <v>0</v>
      </c>
      <c r="AC137" s="1"/>
      <c r="AD137" s="1"/>
      <c r="AE137" s="13"/>
    </row>
    <row r="138" spans="2:31" ht="15.75" hidden="1">
      <c r="B138" s="168"/>
      <c r="C138" s="163"/>
      <c r="D138" s="508"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509"/>
      <c r="F138" s="509"/>
      <c r="G138" s="509"/>
      <c r="H138" s="509"/>
      <c r="I138" s="509"/>
      <c r="J138" s="509"/>
      <c r="K138" s="509"/>
      <c r="L138" s="509"/>
      <c r="M138" s="509"/>
      <c r="N138" s="509"/>
      <c r="O138" s="510"/>
      <c r="P138" s="1"/>
      <c r="T138" s="14"/>
      <c r="U138" s="1"/>
      <c r="V138" s="1"/>
      <c r="W138" s="1"/>
      <c r="X138" s="1"/>
      <c r="Y138" s="1"/>
      <c r="Z138" s="1"/>
      <c r="AA138" s="1"/>
      <c r="AB138" s="1"/>
      <c r="AC138" s="1"/>
      <c r="AD138" s="1"/>
      <c r="AE138" s="13"/>
    </row>
    <row r="139" spans="2:31" ht="15.75" hidden="1" customHeight="1">
      <c r="B139" s="168"/>
      <c r="C139" s="163"/>
      <c r="D139" s="511"/>
      <c r="E139" s="512"/>
      <c r="F139" s="512"/>
      <c r="G139" s="512"/>
      <c r="H139" s="512"/>
      <c r="I139" s="512"/>
      <c r="J139" s="512"/>
      <c r="K139" s="512"/>
      <c r="L139" s="512"/>
      <c r="M139" s="512"/>
      <c r="N139" s="512"/>
      <c r="O139" s="513"/>
      <c r="P139" s="1"/>
      <c r="T139" s="14"/>
      <c r="U139" s="1"/>
      <c r="V139" s="1"/>
      <c r="W139" s="1"/>
      <c r="X139" s="1"/>
      <c r="Y139" s="1"/>
      <c r="Z139" s="1"/>
      <c r="AA139" s="1"/>
      <c r="AB139" s="1"/>
      <c r="AC139" s="1"/>
      <c r="AD139" s="1"/>
      <c r="AE139" s="13"/>
    </row>
    <row r="140" spans="2:31" ht="15.75" hidden="1" customHeight="1">
      <c r="B140" s="103"/>
      <c r="C140" s="163"/>
      <c r="D140" s="511"/>
      <c r="E140" s="512"/>
      <c r="F140" s="512"/>
      <c r="G140" s="512"/>
      <c r="H140" s="512"/>
      <c r="I140" s="512"/>
      <c r="J140" s="512"/>
      <c r="K140" s="512"/>
      <c r="L140" s="512"/>
      <c r="M140" s="512"/>
      <c r="N140" s="512"/>
      <c r="O140" s="513"/>
      <c r="P140" s="1"/>
      <c r="T140" s="14"/>
      <c r="U140" s="1"/>
      <c r="V140" s="1"/>
      <c r="W140" s="1"/>
      <c r="X140" s="1"/>
      <c r="Y140" s="1"/>
      <c r="Z140" s="1"/>
      <c r="AA140" s="1"/>
      <c r="AB140" s="1"/>
      <c r="AC140" s="1"/>
      <c r="AD140" s="1"/>
      <c r="AE140" s="13"/>
    </row>
    <row r="141" spans="2:31" ht="15.75" hidden="1" customHeight="1" thickBot="1">
      <c r="B141" s="103"/>
      <c r="C141" s="163"/>
      <c r="D141" s="514"/>
      <c r="E141" s="515"/>
      <c r="F141" s="515"/>
      <c r="G141" s="515"/>
      <c r="H141" s="515"/>
      <c r="I141" s="515"/>
      <c r="J141" s="515"/>
      <c r="K141" s="515"/>
      <c r="L141" s="515"/>
      <c r="M141" s="515"/>
      <c r="N141" s="515"/>
      <c r="O141" s="516"/>
      <c r="P141" s="1"/>
      <c r="T141" s="14"/>
      <c r="U141" s="1"/>
      <c r="V141" s="1"/>
      <c r="W141" s="1"/>
      <c r="X141" s="1"/>
      <c r="Y141" s="1"/>
      <c r="Z141" s="1"/>
      <c r="AA141" s="1"/>
      <c r="AB141" s="1"/>
      <c r="AC141" s="1"/>
      <c r="AD141" s="1"/>
      <c r="AE141" s="13"/>
    </row>
    <row r="142" spans="2:31" ht="16.5" hidden="1" customHeight="1">
      <c r="B142" s="103"/>
      <c r="C142" s="169"/>
      <c r="D142" s="170"/>
      <c r="E142" s="170"/>
      <c r="F142" s="170"/>
      <c r="G142" s="170"/>
      <c r="H142" s="170"/>
      <c r="I142" s="170"/>
      <c r="J142" s="170"/>
      <c r="K142" s="170"/>
      <c r="L142" s="170"/>
      <c r="M142" s="170"/>
      <c r="N142" s="170"/>
      <c r="O142" s="170"/>
      <c r="P142" s="1"/>
      <c r="T142" s="14"/>
      <c r="U142" s="1"/>
      <c r="V142" s="1"/>
      <c r="W142" s="1"/>
      <c r="X142" s="1"/>
      <c r="Y142" s="1"/>
      <c r="Z142" s="1"/>
      <c r="AA142" s="1"/>
      <c r="AB142" s="1"/>
      <c r="AC142" s="1"/>
      <c r="AD142" s="1"/>
      <c r="AE142" s="13"/>
    </row>
    <row r="143" spans="2:31" ht="16.5" hidden="1" customHeight="1">
      <c r="B143" s="103"/>
      <c r="C143" s="163"/>
      <c r="D143" s="166"/>
      <c r="E143" s="166"/>
      <c r="F143" s="166"/>
      <c r="G143" s="166"/>
      <c r="H143" s="166"/>
      <c r="I143" s="166"/>
      <c r="J143" s="166"/>
      <c r="K143" s="166"/>
      <c r="L143" s="166"/>
      <c r="M143" s="166"/>
      <c r="N143" s="166"/>
      <c r="O143" s="166"/>
      <c r="P143" s="1"/>
      <c r="T143" s="518" t="s">
        <v>4</v>
      </c>
      <c r="U143" s="519"/>
      <c r="V143" s="519"/>
      <c r="W143" s="519"/>
      <c r="X143" s="519"/>
      <c r="Y143" s="519"/>
      <c r="Z143" s="139"/>
      <c r="AA143" s="145"/>
      <c r="AB143" s="194">
        <f>IFERROR(IF('Mon Entreprise'!K8&gt;=Annexes!Q18,0,1-'Mon Entreprise'!M118/2/AB135),0)</f>
        <v>0</v>
      </c>
      <c r="AC143" s="1"/>
      <c r="AD143" s="1"/>
      <c r="AE143" s="13"/>
    </row>
    <row r="144" spans="2:31" ht="16.5" hidden="1" customHeight="1">
      <c r="B144" s="103"/>
      <c r="C144" s="505" t="s">
        <v>112</v>
      </c>
      <c r="D144" s="505"/>
      <c r="E144" s="505"/>
      <c r="F144" s="505"/>
      <c r="G144" s="505"/>
      <c r="H144" s="505"/>
      <c r="I144" s="505"/>
      <c r="J144" s="505"/>
      <c r="K144" s="505"/>
      <c r="L144" s="505"/>
      <c r="M144" s="505"/>
      <c r="N144" s="505"/>
      <c r="O144" s="505"/>
      <c r="P144" s="1"/>
      <c r="T144" s="110"/>
      <c r="U144" s="520" t="s">
        <v>102</v>
      </c>
      <c r="V144" s="520"/>
      <c r="W144" s="520"/>
      <c r="X144" s="520"/>
      <c r="Y144" s="520"/>
      <c r="Z144" s="139"/>
      <c r="AA144" s="145"/>
      <c r="AB144" s="194">
        <f>IFERROR(IF('Mon Entreprise'!K8&gt;Annexes!Q26,0,1-'Mon Entreprise'!M114/AB135),0)</f>
        <v>0</v>
      </c>
      <c r="AC144" s="1"/>
      <c r="AD144" s="1"/>
      <c r="AE144" s="13"/>
    </row>
    <row r="145" spans="1:31" ht="16.5" hidden="1" customHeight="1">
      <c r="B145" s="103"/>
      <c r="C145" s="505"/>
      <c r="D145" s="505"/>
      <c r="E145" s="505"/>
      <c r="F145" s="505"/>
      <c r="G145" s="505"/>
      <c r="H145" s="505"/>
      <c r="I145" s="505"/>
      <c r="J145" s="505"/>
      <c r="K145" s="505"/>
      <c r="L145" s="505"/>
      <c r="M145" s="505"/>
      <c r="N145" s="505"/>
      <c r="O145" s="505"/>
      <c r="P145" s="1"/>
      <c r="T145" s="110"/>
      <c r="U145" s="520" t="s">
        <v>109</v>
      </c>
      <c r="V145" s="520"/>
      <c r="W145" s="520"/>
      <c r="X145" s="520"/>
      <c r="Y145" s="520"/>
      <c r="Z145" s="139"/>
      <c r="AA145" s="145"/>
      <c r="AB145" s="194">
        <f>IFERROR(IF(Annexes!O27&gt;'Mon Entreprise'!K8,1-'Mon Entreprise'!M98/'Mon Entreprise'!I98,""),0)</f>
        <v>0</v>
      </c>
      <c r="AC145" s="1"/>
      <c r="AD145" s="1"/>
      <c r="AE145" s="13"/>
    </row>
    <row r="146" spans="1:31" ht="16.5" hidden="1" customHeight="1">
      <c r="B146" s="103"/>
      <c r="C146" s="505"/>
      <c r="D146" s="505"/>
      <c r="E146" s="505"/>
      <c r="F146" s="505"/>
      <c r="G146" s="505"/>
      <c r="H146" s="505"/>
      <c r="I146" s="505"/>
      <c r="J146" s="505"/>
      <c r="K146" s="505"/>
      <c r="L146" s="505"/>
      <c r="M146" s="505"/>
      <c r="N146" s="505"/>
      <c r="O146" s="505"/>
      <c r="P146" s="1"/>
      <c r="T146" s="14"/>
      <c r="U146" s="521" t="s">
        <v>8</v>
      </c>
      <c r="V146" s="521"/>
      <c r="W146" s="521"/>
      <c r="X146" s="521"/>
      <c r="Y146" s="521"/>
      <c r="Z146" s="1"/>
      <c r="AA146" s="14"/>
      <c r="AB146" s="178" t="str">
        <f>IF((AND(Annexes!F5&gt;1,Annexes!F5&lt;=Annexes!H6)),"OUI","NON")</f>
        <v>NON</v>
      </c>
      <c r="AC146" s="1"/>
      <c r="AD146" s="1"/>
      <c r="AE146" s="13"/>
    </row>
    <row r="147" spans="1:31" ht="16.5" hidden="1" customHeight="1">
      <c r="B147" s="103"/>
      <c r="C147" s="163"/>
      <c r="D147" s="166"/>
      <c r="E147" s="417"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417"/>
      <c r="G147" s="417"/>
      <c r="H147" s="417"/>
      <c r="I147" s="417"/>
      <c r="J147" s="417"/>
      <c r="K147" s="417"/>
      <c r="L147" s="417"/>
      <c r="M147" s="417"/>
      <c r="N147" s="417"/>
      <c r="O147" s="417"/>
      <c r="P147" s="1"/>
      <c r="T147" s="14"/>
      <c r="U147" s="490" t="s">
        <v>113</v>
      </c>
      <c r="V147" s="490"/>
      <c r="W147" s="490"/>
      <c r="X147" s="490"/>
      <c r="Y147" s="490"/>
      <c r="Z147" s="1"/>
      <c r="AA147" s="14"/>
      <c r="AB147" s="178" t="str">
        <f>IF(OR(Annexes!M17=TRUE,AND(Annexes!F7&gt;1,Annexes!F7&lt;=Annexes!H8)),"OUI","NON")</f>
        <v>NON</v>
      </c>
      <c r="AC147" s="1"/>
      <c r="AD147" s="1"/>
      <c r="AE147" s="13"/>
    </row>
    <row r="148" spans="1:31" ht="16.5" hidden="1" customHeight="1">
      <c r="B148" s="168"/>
      <c r="C148" s="163"/>
      <c r="D148" s="166"/>
      <c r="E148" s="417"/>
      <c r="F148" s="417"/>
      <c r="G148" s="417"/>
      <c r="H148" s="417"/>
      <c r="I148" s="417"/>
      <c r="J148" s="417"/>
      <c r="K148" s="417"/>
      <c r="L148" s="417"/>
      <c r="M148" s="417"/>
      <c r="N148" s="417"/>
      <c r="O148" s="417"/>
      <c r="P148" s="1"/>
      <c r="T148" s="14"/>
      <c r="U148" s="490" t="s">
        <v>12</v>
      </c>
      <c r="V148" s="490"/>
      <c r="W148" s="490"/>
      <c r="X148" s="490"/>
      <c r="Y148" s="490"/>
      <c r="Z148" s="1"/>
      <c r="AA148" s="14"/>
      <c r="AB148" s="178" t="b">
        <f>Annexes!M15</f>
        <v>0</v>
      </c>
      <c r="AC148" s="1"/>
      <c r="AD148" s="1"/>
      <c r="AE148" s="13"/>
    </row>
    <row r="149" spans="1:31" ht="16.5" hidden="1" customHeight="1">
      <c r="A149" s="99"/>
      <c r="B149" s="103"/>
      <c r="C149" s="163"/>
      <c r="D149" s="523"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523"/>
      <c r="F149" s="523"/>
      <c r="G149" s="523"/>
      <c r="H149" s="523"/>
      <c r="I149" s="523"/>
      <c r="J149" s="523"/>
      <c r="K149" s="523"/>
      <c r="L149" s="523"/>
      <c r="M149" s="523"/>
      <c r="N149" s="523"/>
      <c r="O149" s="523"/>
      <c r="P149" s="1"/>
      <c r="T149" s="14"/>
      <c r="U149" s="525" t="s">
        <v>72</v>
      </c>
      <c r="V149" s="525"/>
      <c r="W149" s="525"/>
      <c r="X149" s="525"/>
      <c r="Y149" s="525"/>
      <c r="Z149" s="139"/>
      <c r="AA149" s="145"/>
      <c r="AB149" s="189" t="str">
        <f>IF('Mon Entreprise'!K8&lt;=Annexes!Q24,"Oui","Non")</f>
        <v>Oui</v>
      </c>
      <c r="AC149" s="139"/>
      <c r="AD149" s="1"/>
      <c r="AE149" s="13"/>
    </row>
    <row r="150" spans="1:31" ht="16.5" hidden="1" customHeight="1">
      <c r="B150" s="103"/>
      <c r="C150" s="163"/>
      <c r="D150" s="172" t="str">
        <f>IF(OR(AB146="OUI",AB148=TRUE),"- Sans ticket modérateur",IF(AND(AB147="OUI",OR(AB143&gt;=0.8,AB144&gt;=0.8,AB145&gt;=0.1)),"- La Perte de référence est plafonnée à 80 %, soit "&amp;ROUND(AB154,0)&amp;" €","- Sans ticket modérateur"))</f>
        <v>- Sans ticket modérateur</v>
      </c>
      <c r="E150" s="171"/>
      <c r="F150" s="171"/>
      <c r="G150" s="171"/>
      <c r="H150" s="171"/>
      <c r="I150" s="171"/>
      <c r="J150" s="171"/>
      <c r="K150" s="171"/>
      <c r="L150" s="171"/>
      <c r="M150" s="171"/>
      <c r="N150" s="171"/>
      <c r="O150" s="171"/>
      <c r="P150" s="1"/>
      <c r="T150" s="14"/>
      <c r="U150" s="525" t="s">
        <v>84</v>
      </c>
      <c r="V150" s="525"/>
      <c r="W150" s="525"/>
      <c r="X150" s="525"/>
      <c r="Y150" s="525"/>
      <c r="Z150" s="139"/>
      <c r="AA150" s="145"/>
      <c r="AB150" s="189">
        <f>IF('Mon Entreprise'!K8&gt;=Annexes!O20,IF(AB126&gt;=AB128,AB126,AB128),IF(AB126&gt;=AB127,AB126,AB127))</f>
        <v>0</v>
      </c>
      <c r="AC150" s="139"/>
      <c r="AD150" s="1"/>
      <c r="AE150" s="13"/>
    </row>
    <row r="151" spans="1:31" ht="16.5" hidden="1" customHeight="1" thickBot="1">
      <c r="B151" s="103"/>
      <c r="C151" s="163"/>
      <c r="D151" s="171"/>
      <c r="E151" s="171"/>
      <c r="F151" s="171"/>
      <c r="G151" s="171"/>
      <c r="H151" s="171"/>
      <c r="I151" s="171"/>
      <c r="J151" s="171"/>
      <c r="K151" s="171"/>
      <c r="L151" s="171"/>
      <c r="M151" s="171"/>
      <c r="N151" s="171"/>
      <c r="O151" s="171"/>
      <c r="P151" s="1"/>
      <c r="T151" s="14"/>
      <c r="U151" s="525" t="s">
        <v>85</v>
      </c>
      <c r="V151" s="525"/>
      <c r="W151" s="525"/>
      <c r="X151" s="525"/>
      <c r="Y151" s="525"/>
      <c r="Z151" s="139"/>
      <c r="AA151" s="145"/>
      <c r="AB151" s="189">
        <f>IF('Mon Entreprise'!K8&gt;=Annexes!O20,IF(AB126&gt;=AB128,AE126,AE128),IF(AB126&gt;=AB127,AE126,AE127))</f>
        <v>0</v>
      </c>
      <c r="AC151" s="139"/>
      <c r="AD151" s="1"/>
      <c r="AE151" s="13"/>
    </row>
    <row r="152" spans="1:31" ht="16.5" hidden="1" customHeight="1">
      <c r="B152" s="103"/>
      <c r="C152" s="163"/>
      <c r="D152" s="508"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509"/>
      <c r="F152" s="509"/>
      <c r="G152" s="509"/>
      <c r="H152" s="509"/>
      <c r="I152" s="509"/>
      <c r="J152" s="509"/>
      <c r="K152" s="509"/>
      <c r="L152" s="509"/>
      <c r="M152" s="509"/>
      <c r="N152" s="509"/>
      <c r="O152" s="510"/>
      <c r="P152" s="1"/>
      <c r="T152" s="14"/>
      <c r="U152" s="502" t="s">
        <v>74</v>
      </c>
      <c r="V152" s="502"/>
      <c r="W152" s="502"/>
      <c r="X152" s="502"/>
      <c r="Y152" s="502"/>
      <c r="Z152" s="139"/>
      <c r="AA152" s="145"/>
      <c r="AB152" s="189">
        <f>IF(OR(AB146="OUI",AB148=TRUE),1,IF(AND(AB147="OUI",OR(AB143&gt;=0.8,AB144&gt;=0.8)),0.8,1))</f>
        <v>1</v>
      </c>
      <c r="AC152" s="139"/>
      <c r="AD152" s="1"/>
      <c r="AE152" s="13"/>
    </row>
    <row r="153" spans="1:31" ht="16.5" hidden="1" customHeight="1">
      <c r="B153" s="173"/>
      <c r="C153" s="163"/>
      <c r="D153" s="511"/>
      <c r="E153" s="512"/>
      <c r="F153" s="512"/>
      <c r="G153" s="512"/>
      <c r="H153" s="512"/>
      <c r="I153" s="512"/>
      <c r="J153" s="512"/>
      <c r="K153" s="512"/>
      <c r="L153" s="512"/>
      <c r="M153" s="512"/>
      <c r="N153" s="512"/>
      <c r="O153" s="513"/>
      <c r="P153" s="1"/>
      <c r="T153" s="14"/>
      <c r="U153" s="502" t="s">
        <v>80</v>
      </c>
      <c r="V153" s="502"/>
      <c r="W153" s="502"/>
      <c r="X153" s="502"/>
      <c r="Y153" s="502"/>
      <c r="Z153" s="139"/>
      <c r="AA153" s="145"/>
      <c r="AB153" s="189">
        <f>IF('Mon Entreprise'!K8&gt;=Annexes!O20,IF(AB126&gt;=AB128,Y126,Y128),IF(AB126&gt;=AB127,Y126,Y127))</f>
        <v>0</v>
      </c>
      <c r="AC153" s="139"/>
      <c r="AD153" s="1"/>
      <c r="AE153" s="13"/>
    </row>
    <row r="154" spans="1:31" ht="16.5" hidden="1" customHeight="1">
      <c r="B154" s="103"/>
      <c r="C154" s="163"/>
      <c r="D154" s="511"/>
      <c r="E154" s="512"/>
      <c r="F154" s="512"/>
      <c r="G154" s="512"/>
      <c r="H154" s="512"/>
      <c r="I154" s="512"/>
      <c r="J154" s="512"/>
      <c r="K154" s="512"/>
      <c r="L154" s="512"/>
      <c r="M154" s="512"/>
      <c r="N154" s="512"/>
      <c r="O154" s="513"/>
      <c r="P154" s="1"/>
      <c r="T154" s="14"/>
      <c r="U154" s="490" t="s">
        <v>104</v>
      </c>
      <c r="V154" s="490"/>
      <c r="W154" s="490"/>
      <c r="X154" s="490"/>
      <c r="Y154" s="490"/>
      <c r="Z154" s="1"/>
      <c r="AA154" s="14"/>
      <c r="AB154" s="178">
        <f>IF(AB152=1,AB150,IF(AB150*AB152&gt;1500,IF(AB150&gt;1500,AB150*AB152,"Impossible"),IF(AB150&lt;1500,AB150,1500)))</f>
        <v>0</v>
      </c>
      <c r="AC154" s="1"/>
      <c r="AD154" s="1"/>
      <c r="AE154" s="13"/>
    </row>
    <row r="155" spans="1:31" ht="16.5" hidden="1" customHeight="1" thickBot="1">
      <c r="B155" s="103"/>
      <c r="C155" s="163"/>
      <c r="D155" s="514"/>
      <c r="E155" s="515"/>
      <c r="F155" s="515"/>
      <c r="G155" s="515"/>
      <c r="H155" s="515"/>
      <c r="I155" s="515"/>
      <c r="J155" s="515"/>
      <c r="K155" s="515"/>
      <c r="L155" s="515"/>
      <c r="M155" s="515"/>
      <c r="N155" s="515"/>
      <c r="O155" s="516"/>
      <c r="P155" s="1"/>
      <c r="T155" s="14"/>
      <c r="U155" s="161"/>
      <c r="V155" s="161"/>
      <c r="W155" s="161"/>
      <c r="X155" s="161"/>
      <c r="Y155" s="161"/>
      <c r="Z155" s="1"/>
      <c r="AA155" s="1"/>
      <c r="AB155" s="1"/>
      <c r="AC155" s="1"/>
      <c r="AD155" s="1"/>
      <c r="AE155" s="13"/>
    </row>
    <row r="156" spans="1:31" ht="16.5" hidden="1" customHeight="1">
      <c r="B156" s="103"/>
      <c r="C156" s="169"/>
      <c r="D156" s="174"/>
      <c r="E156" s="174"/>
      <c r="F156" s="174"/>
      <c r="G156" s="174"/>
      <c r="H156" s="174"/>
      <c r="I156" s="174"/>
      <c r="J156" s="174"/>
      <c r="K156" s="174"/>
      <c r="L156" s="174"/>
      <c r="M156" s="174"/>
      <c r="N156" s="174"/>
      <c r="O156" s="174"/>
      <c r="P156" s="1"/>
      <c r="T156" s="14"/>
      <c r="U156" s="490"/>
      <c r="V156" s="490"/>
      <c r="W156" s="490"/>
      <c r="X156" s="490"/>
      <c r="Y156" s="490"/>
      <c r="Z156" s="1"/>
      <c r="AA156" s="1"/>
      <c r="AB156" s="1"/>
      <c r="AC156" s="1"/>
      <c r="AD156" s="1"/>
      <c r="AE156" s="13"/>
    </row>
    <row r="157" spans="1:31" ht="16.5" hidden="1" customHeight="1">
      <c r="B157" s="103"/>
      <c r="C157" s="163"/>
      <c r="D157" s="171"/>
      <c r="E157" s="171"/>
      <c r="F157" s="171"/>
      <c r="G157" s="171"/>
      <c r="H157" s="171"/>
      <c r="I157" s="171"/>
      <c r="J157" s="171"/>
      <c r="K157" s="171"/>
      <c r="L157" s="171"/>
      <c r="M157" s="171"/>
      <c r="N157" s="171"/>
      <c r="O157" s="171"/>
      <c r="P157" s="1"/>
      <c r="T157" s="14"/>
      <c r="U157" s="161"/>
      <c r="V157" s="161"/>
      <c r="W157" s="161"/>
      <c r="X157" s="161"/>
      <c r="Y157" s="161"/>
      <c r="Z157" s="1"/>
      <c r="AA157" s="1"/>
      <c r="AB157" s="1"/>
      <c r="AC157" s="1"/>
      <c r="AD157" s="1"/>
      <c r="AE157" s="13"/>
    </row>
    <row r="158" spans="1:31" ht="16.5" hidden="1" customHeight="1">
      <c r="B158" s="103"/>
      <c r="C158" s="529" t="s">
        <v>114</v>
      </c>
      <c r="D158" s="529"/>
      <c r="E158" s="529"/>
      <c r="F158" s="529"/>
      <c r="G158" s="529"/>
      <c r="H158" s="529"/>
      <c r="I158" s="529"/>
      <c r="J158" s="529"/>
      <c r="K158" s="529"/>
      <c r="L158" s="529"/>
      <c r="M158" s="529"/>
      <c r="N158" s="529"/>
      <c r="O158" s="529"/>
      <c r="P158" s="1"/>
      <c r="T158" s="14"/>
      <c r="U158" s="1"/>
      <c r="V158" s="1"/>
      <c r="W158" s="1"/>
      <c r="X158" s="1"/>
      <c r="Y158" s="1"/>
      <c r="Z158" s="1"/>
      <c r="AA158" s="1"/>
      <c r="AB158" s="1"/>
      <c r="AC158" s="1"/>
      <c r="AD158" s="1"/>
      <c r="AE158" s="13"/>
    </row>
    <row r="159" spans="1:31" ht="16.5" hidden="1" customHeight="1">
      <c r="B159" s="103"/>
      <c r="C159" s="529"/>
      <c r="D159" s="529"/>
      <c r="E159" s="529"/>
      <c r="F159" s="529"/>
      <c r="G159" s="529"/>
      <c r="H159" s="529"/>
      <c r="I159" s="529"/>
      <c r="J159" s="529"/>
      <c r="K159" s="529"/>
      <c r="L159" s="529"/>
      <c r="M159" s="529"/>
      <c r="N159" s="529"/>
      <c r="O159" s="529"/>
      <c r="P159" s="1"/>
      <c r="T159" s="14"/>
      <c r="U159" s="1"/>
      <c r="V159" s="1"/>
      <c r="W159" s="1"/>
      <c r="X159" s="1"/>
      <c r="Y159" s="1"/>
      <c r="Z159" s="1"/>
      <c r="AA159" s="1"/>
      <c r="AB159" s="1"/>
      <c r="AC159" s="1"/>
      <c r="AD159" s="1"/>
      <c r="AE159" s="13"/>
    </row>
    <row r="160" spans="1:31" ht="16.5" hidden="1" customHeight="1">
      <c r="B160" s="173"/>
      <c r="C160" s="529"/>
      <c r="D160" s="529"/>
      <c r="E160" s="529"/>
      <c r="F160" s="529"/>
      <c r="G160" s="529"/>
      <c r="H160" s="529"/>
      <c r="I160" s="529"/>
      <c r="J160" s="529"/>
      <c r="K160" s="529"/>
      <c r="L160" s="529"/>
      <c r="M160" s="529"/>
      <c r="N160" s="529"/>
      <c r="O160" s="529"/>
      <c r="P160" s="1"/>
      <c r="T160" s="14"/>
      <c r="U160" s="502" t="s">
        <v>82</v>
      </c>
      <c r="V160" s="502"/>
      <c r="W160" s="502"/>
      <c r="X160" s="502"/>
      <c r="Y160" s="502"/>
      <c r="Z160" s="68"/>
      <c r="AA160" s="1"/>
      <c r="AB160" s="1">
        <f>IFERROR(IF(AB134="Non",0,IF(AB137&gt;=0.5,IF(AB136&gt;Annexes!O5,Annexes!O5,ROUND(AB136,0)),0)),0)</f>
        <v>0</v>
      </c>
      <c r="AC160" s="1"/>
      <c r="AD160" s="1"/>
      <c r="AE160" s="13"/>
    </row>
    <row r="161" spans="2:31" ht="16.5" hidden="1" customHeight="1">
      <c r="B161" s="173"/>
      <c r="C161" s="163"/>
      <c r="D161" s="166"/>
      <c r="E161" s="417"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417"/>
      <c r="G161" s="417"/>
      <c r="H161" s="417"/>
      <c r="I161" s="417"/>
      <c r="J161" s="417"/>
      <c r="K161" s="417"/>
      <c r="L161" s="417"/>
      <c r="M161" s="417"/>
      <c r="N161" s="417"/>
      <c r="O161" s="417"/>
      <c r="P161" s="1"/>
      <c r="T161" s="14"/>
      <c r="U161" s="502" t="s">
        <v>81</v>
      </c>
      <c r="V161" s="502"/>
      <c r="W161" s="502"/>
      <c r="X161" s="502"/>
      <c r="Y161" s="502"/>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hidden="1" customHeight="1">
      <c r="B162" s="173"/>
      <c r="C162" s="163"/>
      <c r="D162" s="166"/>
      <c r="E162" s="417"/>
      <c r="F162" s="417"/>
      <c r="G162" s="417"/>
      <c r="H162" s="417"/>
      <c r="I162" s="417"/>
      <c r="J162" s="417"/>
      <c r="K162" s="417"/>
      <c r="L162" s="417"/>
      <c r="M162" s="417"/>
      <c r="N162" s="417"/>
      <c r="O162" s="417"/>
      <c r="P162" s="1"/>
      <c r="T162" s="14"/>
      <c r="U162" s="502" t="s">
        <v>399</v>
      </c>
      <c r="V162" s="502"/>
      <c r="W162" s="502"/>
      <c r="X162" s="502"/>
      <c r="Y162" s="502"/>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hidden="1" customHeight="1">
      <c r="B163" s="173"/>
      <c r="C163" s="163"/>
      <c r="D163" s="417"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417"/>
      <c r="F163" s="417"/>
      <c r="G163" s="417"/>
      <c r="H163" s="417"/>
      <c r="I163" s="417"/>
      <c r="J163" s="417"/>
      <c r="K163" s="417"/>
      <c r="L163" s="417"/>
      <c r="M163" s="417"/>
      <c r="N163" s="417"/>
      <c r="O163" s="417"/>
      <c r="P163" s="171"/>
      <c r="Q163" s="171"/>
      <c r="T163" s="14"/>
      <c r="U163" s="1"/>
      <c r="V163" s="1"/>
      <c r="W163" s="1"/>
      <c r="X163" s="1"/>
      <c r="Y163" s="1"/>
      <c r="Z163" s="1"/>
      <c r="AA163" s="1"/>
      <c r="AB163" s="1"/>
      <c r="AC163" s="1"/>
      <c r="AD163" s="1"/>
      <c r="AE163" s="13"/>
    </row>
    <row r="164" spans="2:31" ht="16.5" hidden="1" customHeight="1">
      <c r="B164" s="103"/>
      <c r="C164" s="163"/>
      <c r="D164" s="523"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523"/>
      <c r="F164" s="523"/>
      <c r="G164" s="523"/>
      <c r="H164" s="523"/>
      <c r="I164" s="523"/>
      <c r="J164" s="523"/>
      <c r="K164" s="523"/>
      <c r="L164" s="523"/>
      <c r="M164" s="523"/>
      <c r="N164" s="523"/>
      <c r="O164" s="523"/>
      <c r="P164" s="171"/>
      <c r="Q164" s="171"/>
      <c r="T164" s="14"/>
      <c r="U164" s="1"/>
      <c r="V164" s="1"/>
      <c r="W164" s="1"/>
      <c r="X164" s="1"/>
      <c r="Y164" s="1"/>
      <c r="Z164" s="1"/>
      <c r="AA164" s="1"/>
      <c r="AB164" s="1"/>
      <c r="AC164" s="1"/>
      <c r="AD164" s="1"/>
      <c r="AE164" s="13"/>
    </row>
    <row r="165" spans="2:31" ht="16.5" hidden="1" customHeight="1">
      <c r="B165" s="168"/>
      <c r="C165" s="163"/>
      <c r="D165" s="523"/>
      <c r="E165" s="523"/>
      <c r="F165" s="523"/>
      <c r="G165" s="523"/>
      <c r="H165" s="523"/>
      <c r="I165" s="523"/>
      <c r="J165" s="523"/>
      <c r="K165" s="523"/>
      <c r="L165" s="523"/>
      <c r="M165" s="523"/>
      <c r="N165" s="523"/>
      <c r="O165" s="523"/>
      <c r="P165" s="171"/>
      <c r="Q165" s="171"/>
      <c r="T165" s="14"/>
      <c r="U165" s="1"/>
      <c r="V165" s="1"/>
      <c r="W165" s="1"/>
      <c r="X165" s="1"/>
      <c r="Y165" s="1"/>
      <c r="Z165" s="1"/>
      <c r="AA165" s="1"/>
      <c r="AB165" s="1"/>
      <c r="AC165" s="1"/>
      <c r="AD165" s="1"/>
      <c r="AE165" s="13"/>
    </row>
    <row r="166" spans="2:31" ht="16.5" hidden="1" customHeight="1" thickBot="1">
      <c r="B166" s="168"/>
      <c r="C166" s="201"/>
      <c r="D166" s="205"/>
      <c r="E166" s="197"/>
      <c r="F166" s="197"/>
      <c r="G166" s="197"/>
      <c r="H166" s="197"/>
      <c r="I166" s="197"/>
      <c r="J166" s="197"/>
      <c r="K166" s="197"/>
      <c r="L166" s="197"/>
      <c r="M166" s="197"/>
      <c r="N166" s="197"/>
      <c r="O166" s="197"/>
      <c r="P166" s="197"/>
      <c r="Q166" s="197"/>
      <c r="T166" s="14"/>
      <c r="U166" s="1"/>
      <c r="V166" s="1"/>
      <c r="W166" s="1"/>
      <c r="X166" s="1"/>
      <c r="Y166" s="1"/>
      <c r="Z166" s="1"/>
      <c r="AA166" s="1"/>
      <c r="AB166" s="1"/>
      <c r="AC166" s="1"/>
      <c r="AD166" s="1"/>
      <c r="AE166" s="13"/>
    </row>
    <row r="167" spans="2:31" ht="16.5" hidden="1" customHeight="1">
      <c r="B167" s="103"/>
      <c r="C167" s="180"/>
      <c r="D167" s="526"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509"/>
      <c r="F167" s="509"/>
      <c r="G167" s="509"/>
      <c r="H167" s="509"/>
      <c r="I167" s="509"/>
      <c r="J167" s="509"/>
      <c r="K167" s="509"/>
      <c r="L167" s="509"/>
      <c r="M167" s="509"/>
      <c r="N167" s="509"/>
      <c r="O167" s="510"/>
      <c r="P167" s="171"/>
      <c r="Q167" s="171"/>
      <c r="T167" s="14"/>
      <c r="U167" s="1"/>
      <c r="V167" s="1"/>
      <c r="W167" s="1"/>
      <c r="X167" s="1"/>
      <c r="Y167" s="1"/>
      <c r="Z167" s="1"/>
      <c r="AA167" s="1"/>
      <c r="AB167" s="1"/>
      <c r="AC167" s="1"/>
      <c r="AD167" s="1"/>
      <c r="AE167" s="13"/>
    </row>
    <row r="168" spans="2:31" ht="16.5" hidden="1" customHeight="1">
      <c r="B168" s="103"/>
      <c r="C168" s="180"/>
      <c r="D168" s="511"/>
      <c r="E168" s="512"/>
      <c r="F168" s="512"/>
      <c r="G168" s="512"/>
      <c r="H168" s="512"/>
      <c r="I168" s="512"/>
      <c r="J168" s="512"/>
      <c r="K168" s="512"/>
      <c r="L168" s="512"/>
      <c r="M168" s="512"/>
      <c r="N168" s="512"/>
      <c r="O168" s="513"/>
      <c r="P168" s="171"/>
      <c r="Q168" s="171"/>
      <c r="T168" s="14"/>
      <c r="U168" s="1"/>
      <c r="V168" s="1"/>
      <c r="W168" s="1"/>
      <c r="X168" s="1"/>
      <c r="Y168" s="1"/>
      <c r="Z168" s="1"/>
      <c r="AA168" s="1"/>
      <c r="AB168" s="1"/>
      <c r="AC168" s="1"/>
      <c r="AD168" s="1"/>
      <c r="AE168" s="13"/>
    </row>
    <row r="169" spans="2:31" ht="16.5" hidden="1" customHeight="1">
      <c r="B169" s="103"/>
      <c r="C169" s="180"/>
      <c r="D169" s="511"/>
      <c r="E169" s="512"/>
      <c r="F169" s="512"/>
      <c r="G169" s="512"/>
      <c r="H169" s="512"/>
      <c r="I169" s="512"/>
      <c r="J169" s="512"/>
      <c r="K169" s="512"/>
      <c r="L169" s="512"/>
      <c r="M169" s="512"/>
      <c r="N169" s="512"/>
      <c r="O169" s="513"/>
      <c r="P169" s="175"/>
      <c r="Q169" s="175"/>
      <c r="T169" s="14"/>
      <c r="U169" s="1"/>
      <c r="V169" s="1"/>
      <c r="W169" s="1"/>
      <c r="X169" s="1"/>
      <c r="Y169" s="1"/>
      <c r="Z169" s="1"/>
      <c r="AA169" s="1"/>
      <c r="AB169" s="1"/>
      <c r="AC169" s="1"/>
      <c r="AD169" s="1"/>
      <c r="AE169" s="13"/>
    </row>
    <row r="170" spans="2:31" ht="16.5" hidden="1" customHeight="1" thickBot="1">
      <c r="B170" s="103"/>
      <c r="C170" s="180"/>
      <c r="D170" s="514"/>
      <c r="E170" s="515"/>
      <c r="F170" s="515"/>
      <c r="G170" s="515"/>
      <c r="H170" s="515"/>
      <c r="I170" s="515"/>
      <c r="J170" s="515"/>
      <c r="K170" s="515"/>
      <c r="L170" s="515"/>
      <c r="M170" s="515"/>
      <c r="N170" s="515"/>
      <c r="O170" s="516"/>
      <c r="T170" s="14"/>
      <c r="U170" s="1"/>
      <c r="V170" s="1"/>
      <c r="W170" s="1"/>
      <c r="X170" s="1"/>
      <c r="Y170" s="1"/>
      <c r="Z170" s="1"/>
      <c r="AA170" s="1"/>
      <c r="AB170" s="1"/>
      <c r="AC170" s="1"/>
      <c r="AD170" s="1"/>
      <c r="AE170" s="13"/>
    </row>
    <row r="171" spans="2:31" ht="15.75" hidden="1">
      <c r="B171" s="103"/>
      <c r="C171" s="163"/>
      <c r="D171" s="532" t="str">
        <f>IF(AND(AB147="OUI",AB162&gt;AB161,AB162&gt;AB160),"* Le cas échéant, l’aide perçue au titre de l’Art. 3-15 ou 3-16, si elle a déjà été demandée, vient en diminution de la présente aide complémentaire au titre de l'Art. 3-17 ou 3-18 du décret 2021-79 du 28 Janvier 2021","")</f>
        <v/>
      </c>
      <c r="E171" s="532"/>
      <c r="F171" s="532"/>
      <c r="G171" s="532"/>
      <c r="H171" s="532"/>
      <c r="I171" s="532"/>
      <c r="J171" s="532"/>
      <c r="K171" s="532"/>
      <c r="L171" s="532"/>
      <c r="M171" s="532"/>
      <c r="N171" s="532"/>
      <c r="O171" s="532"/>
      <c r="P171" s="176"/>
      <c r="Q171" s="176"/>
      <c r="T171" s="14"/>
      <c r="U171" s="1"/>
      <c r="V171" s="1"/>
      <c r="W171" s="1"/>
      <c r="X171" s="1"/>
      <c r="Y171" s="1"/>
      <c r="Z171" s="1"/>
      <c r="AA171" s="1"/>
      <c r="AB171" s="1"/>
      <c r="AC171" s="1"/>
      <c r="AD171" s="1"/>
      <c r="AE171" s="13"/>
    </row>
    <row r="172" spans="2:31" ht="31.5" hidden="1" customHeight="1">
      <c r="B172" s="5"/>
      <c r="C172" s="5"/>
      <c r="D172" s="233"/>
      <c r="E172" s="233"/>
      <c r="F172" s="233"/>
      <c r="G172" s="233"/>
      <c r="H172" s="233"/>
      <c r="I172" s="233"/>
      <c r="J172" s="233"/>
      <c r="K172" s="233"/>
      <c r="L172" s="233"/>
      <c r="M172" s="233"/>
      <c r="N172" s="233"/>
      <c r="O172" s="233"/>
      <c r="P172" s="177"/>
      <c r="Q172" s="177"/>
      <c r="T172" s="14"/>
      <c r="U172" s="1"/>
      <c r="V172" s="1"/>
      <c r="W172" s="1"/>
      <c r="X172" s="1"/>
      <c r="Y172" s="1"/>
      <c r="Z172" s="1"/>
      <c r="AA172" s="1"/>
      <c r="AB172" s="1"/>
      <c r="AC172" s="1"/>
      <c r="AD172" s="1"/>
      <c r="AE172" s="13"/>
    </row>
    <row r="173" spans="2:31">
      <c r="B173" s="5"/>
      <c r="C173" s="5"/>
      <c r="D173" s="295"/>
      <c r="E173" s="295"/>
      <c r="F173" s="295"/>
      <c r="G173" s="295"/>
      <c r="H173" s="295"/>
      <c r="I173" s="295"/>
      <c r="J173" s="295"/>
      <c r="K173" s="295"/>
      <c r="L173" s="295"/>
      <c r="M173" s="295"/>
      <c r="N173" s="295"/>
      <c r="O173" s="295"/>
      <c r="P173" s="177"/>
      <c r="Q173" s="177"/>
      <c r="T173" s="14"/>
      <c r="U173" s="1"/>
      <c r="V173" s="1"/>
      <c r="W173" s="1"/>
      <c r="X173" s="1"/>
      <c r="Y173" s="1"/>
      <c r="Z173" s="1"/>
      <c r="AA173" s="1"/>
      <c r="AB173" s="1"/>
      <c r="AC173" s="1"/>
      <c r="AD173" s="1"/>
      <c r="AE173" s="13"/>
    </row>
    <row r="174" spans="2:31">
      <c r="B174" s="533">
        <v>2021</v>
      </c>
      <c r="C174" s="533"/>
      <c r="D174" s="533"/>
      <c r="E174" s="533"/>
      <c r="F174" s="533"/>
      <c r="G174" s="533"/>
      <c r="H174" s="533"/>
      <c r="I174" s="533"/>
      <c r="J174" s="533"/>
      <c r="K174" s="533"/>
      <c r="L174" s="533"/>
      <c r="M174" s="533"/>
      <c r="N174" s="533"/>
      <c r="O174" s="533"/>
      <c r="P174" s="177"/>
      <c r="Q174" s="177"/>
      <c r="T174" s="14"/>
      <c r="U174" s="1"/>
      <c r="V174" s="1"/>
      <c r="W174" s="1"/>
      <c r="X174" s="1"/>
      <c r="Y174" s="1"/>
      <c r="Z174" s="1"/>
      <c r="AA174" s="1"/>
      <c r="AB174" s="1"/>
      <c r="AC174" s="1"/>
      <c r="AD174" s="1"/>
      <c r="AE174" s="13"/>
    </row>
    <row r="175" spans="2:31" ht="15.75" thickBot="1">
      <c r="B175" s="534"/>
      <c r="C175" s="534"/>
      <c r="D175" s="534"/>
      <c r="E175" s="534"/>
      <c r="F175" s="534"/>
      <c r="G175" s="534"/>
      <c r="H175" s="534"/>
      <c r="I175" s="534"/>
      <c r="J175" s="534"/>
      <c r="K175" s="534"/>
      <c r="L175" s="534"/>
      <c r="M175" s="534"/>
      <c r="N175" s="534"/>
      <c r="O175" s="534"/>
      <c r="P175" s="177"/>
      <c r="Q175" s="177"/>
      <c r="T175" s="16"/>
      <c r="U175" s="11"/>
      <c r="V175" s="11"/>
      <c r="W175" s="11"/>
      <c r="X175" s="11"/>
      <c r="Y175" s="11"/>
      <c r="Z175" s="11"/>
      <c r="AA175" s="11"/>
      <c r="AB175" s="11"/>
      <c r="AC175" s="11"/>
      <c r="AD175" s="11"/>
      <c r="AE175" s="12"/>
    </row>
    <row r="176" spans="2:31">
      <c r="D176" s="177"/>
      <c r="E176" s="177"/>
      <c r="F176" s="177"/>
      <c r="G176" s="177"/>
      <c r="H176" s="177"/>
      <c r="I176" s="177"/>
      <c r="J176" s="177"/>
      <c r="K176" s="177"/>
      <c r="L176" s="177"/>
      <c r="M176" s="177"/>
      <c r="N176" s="177"/>
      <c r="O176" s="177"/>
      <c r="P176" s="175"/>
      <c r="Q176" s="175"/>
      <c r="T176" s="14"/>
      <c r="U176" s="1"/>
      <c r="V176" s="1"/>
      <c r="W176" s="1"/>
      <c r="X176" s="1"/>
      <c r="Y176" s="1"/>
      <c r="Z176" s="1"/>
      <c r="AA176" s="1"/>
      <c r="AB176" s="1"/>
      <c r="AC176" s="1"/>
      <c r="AD176" s="1"/>
      <c r="AE176" s="13"/>
    </row>
    <row r="177" spans="2:31">
      <c r="D177" s="177"/>
      <c r="E177" s="177"/>
      <c r="F177" s="177"/>
      <c r="G177" s="177"/>
      <c r="H177" s="177"/>
      <c r="I177" s="177"/>
      <c r="J177" s="177"/>
      <c r="K177" s="177"/>
      <c r="L177" s="177"/>
      <c r="M177" s="177"/>
      <c r="N177" s="177"/>
      <c r="O177" s="177"/>
      <c r="P177" s="175"/>
      <c r="Q177" s="175"/>
      <c r="T177" s="25"/>
      <c r="U177" s="490" t="s">
        <v>20</v>
      </c>
      <c r="V177" s="490"/>
      <c r="W177" s="490"/>
      <c r="X177" s="1"/>
      <c r="Y177" s="214" t="s">
        <v>6</v>
      </c>
      <c r="Z177" s="214"/>
      <c r="AA177" s="214"/>
      <c r="AB177" s="214" t="s">
        <v>23</v>
      </c>
      <c r="AC177" s="214"/>
      <c r="AD177" s="214"/>
      <c r="AE177" s="26" t="s">
        <v>24</v>
      </c>
    </row>
    <row r="178" spans="2:31" ht="16.5" thickBot="1">
      <c r="B178" s="220"/>
      <c r="C178" s="488" t="s">
        <v>119</v>
      </c>
      <c r="D178" s="488"/>
      <c r="E178" s="488"/>
      <c r="F178" s="488"/>
      <c r="G178" s="488"/>
      <c r="H178" s="488"/>
      <c r="I178" s="221"/>
      <c r="J178" s="221"/>
      <c r="K178" s="221"/>
      <c r="L178" s="221"/>
      <c r="M178" s="221"/>
      <c r="N178" s="221"/>
      <c r="O178" s="221"/>
      <c r="T178" s="25"/>
      <c r="U178" s="214"/>
      <c r="V178" s="214"/>
      <c r="W178" s="214"/>
      <c r="X178" s="1"/>
      <c r="Y178" s="214"/>
      <c r="Z178" s="214"/>
      <c r="AA178" s="214"/>
      <c r="AB178" s="214"/>
      <c r="AC178" s="214"/>
      <c r="AD178" s="214"/>
      <c r="AE178" s="26"/>
    </row>
    <row r="179" spans="2:31" ht="15" customHeight="1">
      <c r="B179" s="63"/>
      <c r="C179" s="24"/>
      <c r="D179" s="24"/>
      <c r="E179" s="24"/>
      <c r="F179" s="24"/>
      <c r="G179" s="24"/>
      <c r="H179" s="63"/>
      <c r="I179" s="1"/>
      <c r="J179" s="1"/>
      <c r="K179" s="1"/>
      <c r="L179" s="1"/>
      <c r="M179" s="1"/>
      <c r="N179" s="1"/>
      <c r="O179" s="1"/>
      <c r="T179" s="491" t="s">
        <v>121</v>
      </c>
      <c r="U179" s="490"/>
      <c r="V179" s="490"/>
      <c r="W179" s="490"/>
      <c r="X179" s="1"/>
      <c r="Y179" s="7">
        <f>'Mon Entreprise'!I122</f>
        <v>0</v>
      </c>
      <c r="Z179" s="133"/>
      <c r="AA179" s="21"/>
      <c r="AB179" s="7">
        <f>IF('Mon Entreprise'!I122-'Mon Entreprise'!M122&lt;0,0,'Mon Entreprise'!I122-'Mon Entreprise'!M122)</f>
        <v>0</v>
      </c>
      <c r="AC179" s="13"/>
      <c r="AD179" s="1"/>
      <c r="AE179" s="27">
        <f>IFERROR(1-'Mon Entreprise'!M122/'Mon Entreprise'!I122,0)</f>
        <v>0</v>
      </c>
    </row>
    <row r="180" spans="2:31" ht="15" customHeight="1">
      <c r="B180" s="103"/>
      <c r="C180" s="489" t="s">
        <v>122</v>
      </c>
      <c r="D180" s="489"/>
      <c r="E180" s="489"/>
      <c r="F180" s="489"/>
      <c r="G180" s="489"/>
      <c r="H180" s="489"/>
      <c r="I180" s="489"/>
      <c r="J180" s="489"/>
      <c r="K180" s="489"/>
      <c r="L180" s="489"/>
      <c r="M180" s="489"/>
      <c r="N180" s="489"/>
      <c r="O180" s="489"/>
      <c r="P180" s="1"/>
      <c r="T180" s="491" t="s">
        <v>25</v>
      </c>
      <c r="U180" s="490"/>
      <c r="V180" s="490"/>
      <c r="W180" s="490"/>
      <c r="X180" s="1"/>
      <c r="Y180" s="7">
        <f>'Mon Entreprise'!I98</f>
        <v>0</v>
      </c>
      <c r="Z180" s="133"/>
      <c r="AA180" s="21"/>
      <c r="AB180" s="7">
        <f>IF('Mon Entreprise'!I98-'Mon Entreprise'!M122&lt;0,0,'Mon Entreprise'!I98-'Mon Entreprise'!M122)</f>
        <v>0</v>
      </c>
      <c r="AC180" s="36"/>
      <c r="AD180" s="1"/>
      <c r="AE180" s="27">
        <f>IFERROR(1-'Mon Entreprise'!M122/'Mon Entreprise'!I98,0)</f>
        <v>0</v>
      </c>
    </row>
    <row r="181" spans="2:31" ht="15.75" customHeight="1">
      <c r="B181" s="103"/>
      <c r="C181" s="213"/>
      <c r="D181" s="60" t="s">
        <v>123</v>
      </c>
      <c r="E181" s="213"/>
      <c r="F181" s="213"/>
      <c r="G181" s="213"/>
      <c r="H181" s="213"/>
      <c r="I181" s="213"/>
      <c r="J181" s="213"/>
      <c r="K181" s="213"/>
      <c r="L181" s="213"/>
      <c r="M181" s="213"/>
      <c r="N181" s="213"/>
      <c r="O181" s="213"/>
      <c r="P181" s="1"/>
      <c r="T181" s="501" t="s">
        <v>22</v>
      </c>
      <c r="U181" s="502"/>
      <c r="V181" s="502"/>
      <c r="W181" s="502"/>
      <c r="X181" s="139"/>
      <c r="Y181" s="140" t="str">
        <f>IF('Mon Entreprise'!I162="","NC",'Mon Entreprise'!I162)</f>
        <v>NC</v>
      </c>
      <c r="Z181" s="191"/>
      <c r="AA181" s="192"/>
      <c r="AB181" s="143" t="str">
        <f>IFERROR(IF('Mon Entreprise'!I162-'Mon Entreprise'!M122&lt;0,0,'Mon Entreprise'!I162-'Mon Entreprise'!M122),"NC")</f>
        <v>NC</v>
      </c>
      <c r="AC181" s="193"/>
      <c r="AD181" s="139"/>
      <c r="AE181" s="146" t="str">
        <f>IFERROR(1-'Mon Entreprise'!M122/'Mon Entreprise'!I162,"NC")</f>
        <v>NC</v>
      </c>
    </row>
    <row r="182" spans="2:31" ht="16.5" thickBot="1">
      <c r="B182" s="103"/>
      <c r="C182" s="213"/>
      <c r="D182" s="60"/>
      <c r="E182" s="213"/>
      <c r="F182" s="213"/>
      <c r="G182" s="213"/>
      <c r="H182" s="213"/>
      <c r="I182" s="213"/>
      <c r="J182" s="213"/>
      <c r="K182" s="213"/>
      <c r="L182" s="213"/>
      <c r="M182" s="213"/>
      <c r="N182" s="213"/>
      <c r="O182" s="213"/>
      <c r="P182" s="1"/>
      <c r="T182" s="14"/>
      <c r="U182" s="1"/>
      <c r="V182" s="1"/>
      <c r="W182" s="1"/>
      <c r="X182" s="1"/>
      <c r="Y182" s="1"/>
      <c r="Z182" s="1"/>
      <c r="AA182" s="1"/>
      <c r="AB182" s="1"/>
      <c r="AC182" s="1"/>
      <c r="AD182" s="1"/>
      <c r="AE182" s="13"/>
    </row>
    <row r="183" spans="2:31" ht="15.75">
      <c r="B183" s="103"/>
      <c r="C183" s="213"/>
      <c r="D183" s="492"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93"/>
      <c r="F183" s="493"/>
      <c r="G183" s="493"/>
      <c r="H183" s="493"/>
      <c r="I183" s="493"/>
      <c r="J183" s="493"/>
      <c r="K183" s="493"/>
      <c r="L183" s="493"/>
      <c r="M183" s="493"/>
      <c r="N183" s="493"/>
      <c r="O183" s="494"/>
      <c r="P183" s="1"/>
      <c r="T183" s="14"/>
      <c r="AC183" s="1"/>
      <c r="AD183" s="1"/>
      <c r="AE183" s="13"/>
    </row>
    <row r="184" spans="2:31" ht="15.75" customHeight="1">
      <c r="B184" s="103"/>
      <c r="C184" s="213"/>
      <c r="D184" s="495"/>
      <c r="E184" s="496"/>
      <c r="F184" s="496"/>
      <c r="G184" s="496"/>
      <c r="H184" s="496"/>
      <c r="I184" s="496"/>
      <c r="J184" s="496"/>
      <c r="K184" s="496"/>
      <c r="L184" s="496"/>
      <c r="M184" s="496"/>
      <c r="N184" s="496"/>
      <c r="O184" s="497"/>
      <c r="P184" s="1"/>
      <c r="T184" s="14"/>
      <c r="AC184" s="1"/>
      <c r="AD184" s="1"/>
      <c r="AE184" s="13"/>
    </row>
    <row r="185" spans="2:31" ht="15.75" customHeight="1">
      <c r="B185" s="103"/>
      <c r="C185" s="213"/>
      <c r="D185" s="495"/>
      <c r="E185" s="496"/>
      <c r="F185" s="496"/>
      <c r="G185" s="496"/>
      <c r="H185" s="496"/>
      <c r="I185" s="496"/>
      <c r="J185" s="496"/>
      <c r="K185" s="496"/>
      <c r="L185" s="496"/>
      <c r="M185" s="496"/>
      <c r="N185" s="496"/>
      <c r="O185" s="497"/>
      <c r="P185" s="1"/>
      <c r="T185" s="14"/>
      <c r="AC185" s="1"/>
      <c r="AD185" s="1"/>
      <c r="AE185" s="13"/>
    </row>
    <row r="186" spans="2:31" ht="15.75" customHeight="1">
      <c r="B186" s="103"/>
      <c r="C186" s="213"/>
      <c r="D186" s="495"/>
      <c r="E186" s="496"/>
      <c r="F186" s="496"/>
      <c r="G186" s="496"/>
      <c r="H186" s="496"/>
      <c r="I186" s="496"/>
      <c r="J186" s="496"/>
      <c r="K186" s="496"/>
      <c r="L186" s="496"/>
      <c r="M186" s="496"/>
      <c r="N186" s="496"/>
      <c r="O186" s="497"/>
      <c r="P186" s="1"/>
      <c r="T186" s="14"/>
      <c r="U186" s="1"/>
      <c r="V186" s="1"/>
      <c r="W186" s="1"/>
      <c r="X186" s="1"/>
      <c r="Y186" s="1"/>
      <c r="Z186" s="1"/>
      <c r="AA186" s="1"/>
      <c r="AB186" s="1"/>
      <c r="AC186" s="1"/>
      <c r="AD186" s="1"/>
      <c r="AE186" s="13"/>
    </row>
    <row r="187" spans="2:31" ht="15.75" customHeight="1" thickBot="1">
      <c r="B187" s="103"/>
      <c r="C187" s="213"/>
      <c r="D187" s="498"/>
      <c r="E187" s="499"/>
      <c r="F187" s="499"/>
      <c r="G187" s="499"/>
      <c r="H187" s="499"/>
      <c r="I187" s="499"/>
      <c r="J187" s="499"/>
      <c r="K187" s="499"/>
      <c r="L187" s="499"/>
      <c r="M187" s="499"/>
      <c r="N187" s="499"/>
      <c r="O187" s="500"/>
      <c r="P187" s="1"/>
      <c r="T187" s="14"/>
      <c r="U187" s="506" t="s">
        <v>72</v>
      </c>
      <c r="V187" s="506"/>
      <c r="W187" s="506"/>
      <c r="X187" s="506"/>
      <c r="Y187" s="506"/>
      <c r="Z187" s="1"/>
      <c r="AA187" s="14"/>
      <c r="AB187" s="210" t="str">
        <f>IF('Mon Entreprise'!K8&lt;=Annexes!Q26,"Oui","Non")</f>
        <v>Oui</v>
      </c>
      <c r="AC187" s="1"/>
      <c r="AD187" s="1"/>
      <c r="AE187" s="13"/>
    </row>
    <row r="188" spans="2:31" ht="16.5" hidden="1" customHeight="1">
      <c r="B188" s="103"/>
      <c r="C188" s="213"/>
      <c r="D188" s="60"/>
      <c r="E188" s="213"/>
      <c r="F188" s="213"/>
      <c r="G188" s="213"/>
      <c r="H188" s="213"/>
      <c r="I188" s="213"/>
      <c r="J188" s="213"/>
      <c r="K188" s="213"/>
      <c r="L188" s="213"/>
      <c r="M188" s="213"/>
      <c r="N188" s="213"/>
      <c r="O188" s="213"/>
      <c r="P188" s="1"/>
      <c r="T188" s="14"/>
      <c r="U188" s="293"/>
      <c r="V188" s="506" t="s">
        <v>393</v>
      </c>
      <c r="W188" s="506"/>
      <c r="X188" s="506"/>
      <c r="Y188" s="506"/>
      <c r="Z188" s="1"/>
      <c r="AA188" s="14"/>
      <c r="AB188" s="292">
        <f>IF('Mon Entreprise'!K8&gt;=Annexes!O20,IF(Y179&gt;=Y181,Y179,Y181),IF(Y179&gt;=Y180,Y179,Y180))</f>
        <v>0</v>
      </c>
      <c r="AC188" s="1"/>
      <c r="AD188" s="1"/>
      <c r="AE188" s="13"/>
    </row>
    <row r="189" spans="2:31" ht="15.75" hidden="1">
      <c r="B189" s="103"/>
      <c r="C189" s="78"/>
      <c r="D189" s="78"/>
      <c r="E189" s="78"/>
      <c r="F189" s="78"/>
      <c r="G189" s="78"/>
      <c r="H189" s="78"/>
      <c r="I189" s="78"/>
      <c r="J189" s="78"/>
      <c r="K189" s="78"/>
      <c r="L189" s="78"/>
      <c r="M189" s="78"/>
      <c r="N189" s="78"/>
      <c r="O189" s="78"/>
      <c r="P189" s="1"/>
      <c r="T189" s="14"/>
      <c r="U189" s="506" t="s">
        <v>84</v>
      </c>
      <c r="V189" s="506"/>
      <c r="W189" s="506"/>
      <c r="X189" s="506"/>
      <c r="Y189" s="506"/>
      <c r="Z189" s="1"/>
      <c r="AA189" s="14"/>
      <c r="AB189" s="211">
        <f>IF('Mon Entreprise'!K8&gt;=Annexes!O20,IF(AB179&gt;=AB181,AB179,AB181),IF(AB179&gt;=AB180,AB179,AB180))</f>
        <v>0</v>
      </c>
      <c r="AC189" s="1"/>
      <c r="AD189" s="1"/>
      <c r="AE189" s="13"/>
    </row>
    <row r="190" spans="2:31" ht="15.75" hidden="1">
      <c r="B190" s="103"/>
      <c r="C190" s="213"/>
      <c r="D190" s="60"/>
      <c r="E190" s="213"/>
      <c r="F190" s="213"/>
      <c r="G190" s="213"/>
      <c r="H190" s="213"/>
      <c r="I190" s="213"/>
      <c r="J190" s="213"/>
      <c r="K190" s="213"/>
      <c r="L190" s="213"/>
      <c r="M190" s="213"/>
      <c r="N190" s="213"/>
      <c r="O190" s="213"/>
      <c r="P190" s="1"/>
      <c r="T190" s="14"/>
      <c r="U190" s="506" t="s">
        <v>85</v>
      </c>
      <c r="V190" s="506"/>
      <c r="W190" s="506"/>
      <c r="X190" s="506"/>
      <c r="Y190" s="506"/>
      <c r="Z190" s="1"/>
      <c r="AA190" s="14"/>
      <c r="AB190" s="19">
        <f>IF('Mon Entreprise'!K8&gt;=Annexes!O20,IF(AB179&gt;=AB181,AE179,AE181),IF(AB179&gt;=AB180,AE179,AE180))</f>
        <v>0</v>
      </c>
      <c r="AC190" s="1"/>
      <c r="AD190" s="1"/>
      <c r="AE190" s="13"/>
    </row>
    <row r="191" spans="2:31" ht="15.75" hidden="1">
      <c r="B191" s="103"/>
      <c r="C191" s="213" t="s">
        <v>120</v>
      </c>
      <c r="D191" s="60"/>
      <c r="E191" s="213"/>
      <c r="F191" s="213"/>
      <c r="G191" s="213"/>
      <c r="H191" s="213"/>
      <c r="I191" s="213"/>
      <c r="J191" s="213"/>
      <c r="K191" s="213"/>
      <c r="L191" s="213"/>
      <c r="M191" s="213"/>
      <c r="N191" s="213"/>
      <c r="O191" s="213"/>
      <c r="P191" s="1"/>
      <c r="T191" s="14"/>
      <c r="U191" s="1"/>
      <c r="V191" s="1"/>
      <c r="W191" s="1"/>
      <c r="X191" s="1"/>
      <c r="Y191" s="1"/>
      <c r="Z191" s="1"/>
      <c r="AA191" s="1"/>
      <c r="AB191" s="1"/>
      <c r="AC191" s="1"/>
      <c r="AD191" s="1"/>
      <c r="AE191" s="13"/>
    </row>
    <row r="192" spans="2:31" ht="15.75" hidden="1">
      <c r="B192" s="168"/>
      <c r="C192" s="213"/>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213"/>
      <c r="F192" s="213"/>
      <c r="G192" s="213"/>
      <c r="H192" s="213"/>
      <c r="I192" s="213"/>
      <c r="J192" s="213"/>
      <c r="K192" s="213"/>
      <c r="L192" s="213"/>
      <c r="M192" s="213"/>
      <c r="N192" s="213"/>
      <c r="O192" s="213"/>
      <c r="P192" s="1"/>
      <c r="T192" s="14"/>
      <c r="U192" s="1"/>
      <c r="V192" s="1"/>
      <c r="W192" s="1"/>
      <c r="X192" s="1"/>
      <c r="Y192" s="1"/>
      <c r="Z192" s="1"/>
      <c r="AA192" s="1"/>
      <c r="AB192" s="1"/>
      <c r="AC192" s="1"/>
      <c r="AD192" s="1"/>
      <c r="AE192" s="13"/>
    </row>
    <row r="193" spans="1:31" ht="16.5" hidden="1" thickBot="1">
      <c r="B193" s="103"/>
      <c r="C193" s="213"/>
      <c r="D193" s="60"/>
      <c r="E193" s="213"/>
      <c r="F193" s="213"/>
      <c r="G193" s="213"/>
      <c r="H193" s="213"/>
      <c r="I193" s="213"/>
      <c r="J193" s="213"/>
      <c r="K193" s="213"/>
      <c r="L193" s="213"/>
      <c r="M193" s="213"/>
      <c r="N193" s="213"/>
      <c r="O193" s="213"/>
      <c r="P193" s="1"/>
      <c r="T193" s="14"/>
      <c r="U193" s="1"/>
      <c r="V193" s="1"/>
      <c r="W193" s="1"/>
      <c r="X193" s="1"/>
      <c r="Y193" s="1"/>
      <c r="Z193" s="1"/>
      <c r="AA193" s="1"/>
      <c r="AB193" s="1"/>
      <c r="AC193" s="1"/>
      <c r="AD193" s="1"/>
      <c r="AE193" s="13"/>
    </row>
    <row r="194" spans="1:31" ht="15.75" hidden="1">
      <c r="B194" s="168"/>
      <c r="C194" s="213"/>
      <c r="D194" s="508"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509"/>
      <c r="F194" s="509"/>
      <c r="G194" s="509"/>
      <c r="H194" s="509"/>
      <c r="I194" s="509"/>
      <c r="J194" s="509"/>
      <c r="K194" s="509"/>
      <c r="L194" s="509"/>
      <c r="M194" s="509"/>
      <c r="N194" s="509"/>
      <c r="O194" s="510"/>
      <c r="P194" s="1"/>
      <c r="T194" s="14"/>
      <c r="U194" s="1"/>
      <c r="V194" s="1"/>
      <c r="W194" s="1"/>
      <c r="X194" s="1"/>
      <c r="Y194" s="1"/>
      <c r="Z194" s="1"/>
      <c r="AA194" s="1"/>
      <c r="AB194" s="1"/>
      <c r="AC194" s="1"/>
      <c r="AD194" s="1"/>
      <c r="AE194" s="13"/>
    </row>
    <row r="195" spans="1:31" ht="15.75" hidden="1" customHeight="1">
      <c r="B195" s="168"/>
      <c r="C195" s="213"/>
      <c r="D195" s="511"/>
      <c r="E195" s="512"/>
      <c r="F195" s="512"/>
      <c r="G195" s="512"/>
      <c r="H195" s="512"/>
      <c r="I195" s="512"/>
      <c r="J195" s="512"/>
      <c r="K195" s="512"/>
      <c r="L195" s="512"/>
      <c r="M195" s="512"/>
      <c r="N195" s="512"/>
      <c r="O195" s="513"/>
      <c r="P195" s="1"/>
      <c r="T195" s="14"/>
      <c r="U195" s="1"/>
      <c r="V195" s="1"/>
      <c r="W195" s="1"/>
      <c r="X195" s="1"/>
      <c r="Y195" s="1"/>
      <c r="Z195" s="1"/>
      <c r="AA195" s="1"/>
      <c r="AB195" s="1"/>
      <c r="AC195" s="1"/>
      <c r="AD195" s="1"/>
      <c r="AE195" s="13"/>
    </row>
    <row r="196" spans="1:31" ht="15.75" hidden="1" customHeight="1">
      <c r="B196" s="103"/>
      <c r="C196" s="213"/>
      <c r="D196" s="511"/>
      <c r="E196" s="512"/>
      <c r="F196" s="512"/>
      <c r="G196" s="512"/>
      <c r="H196" s="512"/>
      <c r="I196" s="512"/>
      <c r="J196" s="512"/>
      <c r="K196" s="512"/>
      <c r="L196" s="512"/>
      <c r="M196" s="512"/>
      <c r="N196" s="512"/>
      <c r="O196" s="513"/>
      <c r="P196" s="1"/>
      <c r="T196" s="518" t="s">
        <v>4</v>
      </c>
      <c r="U196" s="519"/>
      <c r="V196" s="519"/>
      <c r="W196" s="519"/>
      <c r="X196" s="519"/>
      <c r="Y196" s="519"/>
      <c r="Z196" s="139"/>
      <c r="AA196" s="145"/>
      <c r="AB196" s="194">
        <f>IFERROR(IF('Mon Entreprise'!K8&gt;=Annexes!Q18,0,1-'Mon Entreprise'!M118/2/AB188),0)</f>
        <v>0</v>
      </c>
      <c r="AC196" s="1"/>
      <c r="AD196" s="1"/>
      <c r="AE196" s="13"/>
    </row>
    <row r="197" spans="1:31" ht="15.75" hidden="1" customHeight="1" thickBot="1">
      <c r="B197" s="103"/>
      <c r="C197" s="213"/>
      <c r="D197" s="514"/>
      <c r="E197" s="515"/>
      <c r="F197" s="515"/>
      <c r="G197" s="515"/>
      <c r="H197" s="515"/>
      <c r="I197" s="515"/>
      <c r="J197" s="515"/>
      <c r="K197" s="515"/>
      <c r="L197" s="515"/>
      <c r="M197" s="515"/>
      <c r="N197" s="515"/>
      <c r="O197" s="516"/>
      <c r="P197" s="1"/>
      <c r="T197" s="110"/>
      <c r="U197" s="520" t="s">
        <v>102</v>
      </c>
      <c r="V197" s="520"/>
      <c r="W197" s="520"/>
      <c r="X197" s="520"/>
      <c r="Y197" s="520"/>
      <c r="Z197" s="139"/>
      <c r="AA197" s="145"/>
      <c r="AB197" s="194">
        <f>IFERROR(IF('Mon Entreprise'!K8&gt;Annexes!Q26,0,1-'Mon Entreprise'!M114/AB188),0)</f>
        <v>0</v>
      </c>
      <c r="AC197" s="1"/>
      <c r="AD197" s="1"/>
      <c r="AE197" s="13"/>
    </row>
    <row r="198" spans="1:31" ht="16.5" hidden="1" customHeight="1">
      <c r="B198" s="103"/>
      <c r="C198" s="169"/>
      <c r="D198" s="170"/>
      <c r="E198" s="170"/>
      <c r="F198" s="170"/>
      <c r="G198" s="170"/>
      <c r="H198" s="170"/>
      <c r="I198" s="170"/>
      <c r="J198" s="170"/>
      <c r="K198" s="170"/>
      <c r="L198" s="170"/>
      <c r="M198" s="170"/>
      <c r="N198" s="170"/>
      <c r="O198" s="170"/>
      <c r="P198" s="1"/>
      <c r="T198" s="110"/>
      <c r="U198" s="520" t="s">
        <v>109</v>
      </c>
      <c r="V198" s="520"/>
      <c r="W198" s="520"/>
      <c r="X198" s="520"/>
      <c r="Y198" s="520"/>
      <c r="Z198" s="139"/>
      <c r="AA198" s="145"/>
      <c r="AB198" s="194">
        <f>IFERROR(IF(Annexes!O27&gt;'Mon Entreprise'!K8,1-'Mon Entreprise'!M98/'Mon Entreprise'!I98,0),0)</f>
        <v>0</v>
      </c>
      <c r="AC198" s="1"/>
      <c r="AD198" s="1"/>
      <c r="AE198" s="13"/>
    </row>
    <row r="199" spans="1:31" ht="16.5" hidden="1" customHeight="1">
      <c r="B199" s="103"/>
      <c r="C199" s="213"/>
      <c r="D199" s="212"/>
      <c r="E199" s="212"/>
      <c r="F199" s="212"/>
      <c r="G199" s="212"/>
      <c r="H199" s="212"/>
      <c r="I199" s="212"/>
      <c r="J199" s="212"/>
      <c r="K199" s="212"/>
      <c r="L199" s="212"/>
      <c r="M199" s="212"/>
      <c r="N199" s="212"/>
      <c r="O199" s="212"/>
      <c r="P199" s="1"/>
      <c r="T199" s="14"/>
      <c r="U199" s="521" t="s">
        <v>8</v>
      </c>
      <c r="V199" s="521"/>
      <c r="W199" s="521"/>
      <c r="X199" s="521"/>
      <c r="Y199" s="521"/>
      <c r="Z199" s="1"/>
      <c r="AA199" s="14"/>
      <c r="AB199" s="211" t="str">
        <f>IF((AND(Annexes!F5&gt;1,Annexes!F5&lt;=Annexes!H6)),"OUI","NON")</f>
        <v>NON</v>
      </c>
      <c r="AC199" s="1"/>
      <c r="AD199" s="1"/>
      <c r="AE199" s="13"/>
    </row>
    <row r="200" spans="1:31" ht="16.5" hidden="1" customHeight="1">
      <c r="B200" s="103"/>
      <c r="C200" s="505" t="s">
        <v>112</v>
      </c>
      <c r="D200" s="505"/>
      <c r="E200" s="505"/>
      <c r="F200" s="505"/>
      <c r="G200" s="505"/>
      <c r="H200" s="505"/>
      <c r="I200" s="505"/>
      <c r="J200" s="505"/>
      <c r="K200" s="505"/>
      <c r="L200" s="505"/>
      <c r="M200" s="505"/>
      <c r="N200" s="505"/>
      <c r="O200" s="505"/>
      <c r="P200" s="1"/>
      <c r="T200" s="14"/>
      <c r="U200" s="246"/>
      <c r="V200" s="246"/>
      <c r="W200" s="246"/>
      <c r="X200" s="246"/>
      <c r="Y200" s="246" t="s">
        <v>9</v>
      </c>
      <c r="Z200" s="1"/>
      <c r="AA200" s="14"/>
      <c r="AB200" s="245" t="str">
        <f>IF(AND(Annexes!F7&gt;1,Annexes!F7&lt;=Annexes!H8),"OUI","NON")</f>
        <v>NON</v>
      </c>
      <c r="AC200" s="1"/>
      <c r="AD200" s="1"/>
      <c r="AE200" s="13"/>
    </row>
    <row r="201" spans="1:31" ht="16.5" hidden="1" customHeight="1">
      <c r="B201" s="103"/>
      <c r="C201" s="505"/>
      <c r="D201" s="505"/>
      <c r="E201" s="505"/>
      <c r="F201" s="505"/>
      <c r="G201" s="505"/>
      <c r="H201" s="505"/>
      <c r="I201" s="505"/>
      <c r="J201" s="505"/>
      <c r="K201" s="505"/>
      <c r="L201" s="505"/>
      <c r="M201" s="505"/>
      <c r="N201" s="505"/>
      <c r="O201" s="505"/>
      <c r="P201" s="1"/>
      <c r="T201" s="491" t="s">
        <v>305</v>
      </c>
      <c r="U201" s="490"/>
      <c r="V201" s="490"/>
      <c r="W201" s="490"/>
      <c r="X201" s="490"/>
      <c r="Y201" s="490"/>
      <c r="Z201" s="1"/>
      <c r="AA201" s="14"/>
      <c r="AB201" s="211" t="str">
        <f>IF(Annexes!M17=TRUE,"OUI","NON")</f>
        <v>NON</v>
      </c>
      <c r="AC201" s="1"/>
      <c r="AD201" s="1"/>
      <c r="AE201" s="13"/>
    </row>
    <row r="202" spans="1:31" ht="16.5" hidden="1" customHeight="1">
      <c r="B202" s="103"/>
      <c r="C202" s="505"/>
      <c r="D202" s="505"/>
      <c r="E202" s="505"/>
      <c r="F202" s="505"/>
      <c r="G202" s="505"/>
      <c r="H202" s="505"/>
      <c r="I202" s="505"/>
      <c r="J202" s="505"/>
      <c r="K202" s="505"/>
      <c r="L202" s="505"/>
      <c r="M202" s="505"/>
      <c r="N202" s="505"/>
      <c r="O202" s="505"/>
      <c r="P202" s="1"/>
      <c r="T202" s="14"/>
      <c r="U202" s="490" t="s">
        <v>12</v>
      </c>
      <c r="V202" s="490"/>
      <c r="W202" s="490"/>
      <c r="X202" s="490"/>
      <c r="Y202" s="490"/>
      <c r="Z202" s="1"/>
      <c r="AA202" s="14"/>
      <c r="AB202" s="211" t="b">
        <f>Annexes!M19</f>
        <v>0</v>
      </c>
      <c r="AC202" s="1"/>
      <c r="AD202" s="1"/>
      <c r="AE202" s="13"/>
    </row>
    <row r="203" spans="1:31" ht="16.5" hidden="1" customHeight="1">
      <c r="B203" s="103"/>
      <c r="C203" s="213"/>
      <c r="D203" s="212"/>
      <c r="E203" s="417"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417"/>
      <c r="G203" s="417"/>
      <c r="H203" s="417"/>
      <c r="I203" s="417"/>
      <c r="J203" s="417"/>
      <c r="K203" s="417"/>
      <c r="L203" s="417"/>
      <c r="M203" s="417"/>
      <c r="N203" s="417"/>
      <c r="O203" s="417"/>
      <c r="P203" s="1"/>
      <c r="T203" s="14"/>
      <c r="U203" s="525" t="s">
        <v>72</v>
      </c>
      <c r="V203" s="525"/>
      <c r="W203" s="525"/>
      <c r="X203" s="525"/>
      <c r="Y203" s="525"/>
      <c r="Z203" s="139"/>
      <c r="AA203" s="145"/>
      <c r="AB203" s="210" t="str">
        <f>IF('Mon Entreprise'!K8&lt;=Annexes!Q26,"Oui","Non")</f>
        <v>Oui</v>
      </c>
      <c r="AC203" s="139"/>
      <c r="AD203" s="1"/>
      <c r="AE203" s="13"/>
    </row>
    <row r="204" spans="1:31" ht="16.5" hidden="1" customHeight="1">
      <c r="B204" s="168"/>
      <c r="C204" s="213"/>
      <c r="D204" s="212"/>
      <c r="E204" s="417"/>
      <c r="F204" s="417"/>
      <c r="G204" s="417"/>
      <c r="H204" s="417"/>
      <c r="I204" s="417"/>
      <c r="J204" s="417"/>
      <c r="K204" s="417"/>
      <c r="L204" s="417"/>
      <c r="M204" s="417"/>
      <c r="N204" s="417"/>
      <c r="O204" s="417"/>
      <c r="P204" s="1"/>
      <c r="T204" s="14"/>
      <c r="U204" s="525" t="s">
        <v>84</v>
      </c>
      <c r="V204" s="525"/>
      <c r="W204" s="525"/>
      <c r="X204" s="525"/>
      <c r="Y204" s="525"/>
      <c r="Z204" s="139"/>
      <c r="AA204" s="145"/>
      <c r="AB204" s="210">
        <f>IF('Mon Entreprise'!K8&gt;=Annexes!O20,IF(AB179&gt;=AB181,AB179,AB181),IF(AB179&gt;=AB180,AB179,AB180))</f>
        <v>0</v>
      </c>
      <c r="AC204" s="139"/>
      <c r="AD204" s="1"/>
      <c r="AE204" s="13"/>
    </row>
    <row r="205" spans="1:31" ht="16.5" hidden="1" customHeight="1">
      <c r="A205" s="99"/>
      <c r="B205" s="103"/>
      <c r="C205" s="213"/>
      <c r="D205" s="523"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523"/>
      <c r="F205" s="523"/>
      <c r="G205" s="523"/>
      <c r="H205" s="523"/>
      <c r="I205" s="523"/>
      <c r="J205" s="523"/>
      <c r="K205" s="523"/>
      <c r="L205" s="523"/>
      <c r="M205" s="523"/>
      <c r="N205" s="523"/>
      <c r="O205" s="523"/>
      <c r="P205" s="1"/>
      <c r="T205" s="14"/>
      <c r="U205" s="525" t="s">
        <v>85</v>
      </c>
      <c r="V205" s="525"/>
      <c r="W205" s="525"/>
      <c r="X205" s="525"/>
      <c r="Y205" s="525"/>
      <c r="Z205" s="139"/>
      <c r="AA205" s="145"/>
      <c r="AB205" s="210">
        <f>IF('Mon Entreprise'!K8&gt;=Annexes!O20,IF(AB179&gt;=AB181,AE179,AE181),IF(AB179&gt;=AB180,AE179,AE180))</f>
        <v>0</v>
      </c>
      <c r="AC205" s="139"/>
      <c r="AD205" s="1"/>
      <c r="AE205" s="13"/>
    </row>
    <row r="206" spans="1:31" ht="16.5" hidden="1" customHeight="1">
      <c r="B206" s="103"/>
      <c r="C206" s="213"/>
      <c r="D206" s="215" t="str">
        <f>IF(OR(AB199="OUI",AB202=TRUE),"- Sans ticket modérateur",IF(AND(OR(AB201="OUI",AB200="OUI"),OR(AB196&gt;=0.8,AB197&gt;=0.8,AB198&gt;=0.1)),"- La Perte de référence est plafonnée à 80 %, soit "&amp;ROUND(AB208,0)&amp;" €","- Sans ticket modérateur"))</f>
        <v>- Sans ticket modérateur</v>
      </c>
      <c r="E206" s="206"/>
      <c r="F206" s="206"/>
      <c r="G206" s="206"/>
      <c r="H206" s="206"/>
      <c r="I206" s="206"/>
      <c r="J206" s="206"/>
      <c r="K206" s="206"/>
      <c r="L206" s="206"/>
      <c r="M206" s="206"/>
      <c r="N206" s="206"/>
      <c r="O206" s="206"/>
      <c r="P206" s="1"/>
      <c r="T206" s="14"/>
      <c r="U206" s="502" t="s">
        <v>74</v>
      </c>
      <c r="V206" s="502"/>
      <c r="W206" s="502"/>
      <c r="X206" s="502"/>
      <c r="Y206" s="502"/>
      <c r="Z206" s="139"/>
      <c r="AA206" s="145"/>
      <c r="AB206" s="210">
        <f>IF(OR(AB199="OUI",AB202=TRUE),1,IF(AND(OR(AB201="OUI",AB200="OUI"),OR(AB196&gt;=0.8,AB197&gt;=0.8,AB198&gt;=0.1)),0.8,1))</f>
        <v>1</v>
      </c>
      <c r="AC206" s="139"/>
      <c r="AD206" s="1"/>
      <c r="AE206" s="13"/>
    </row>
    <row r="207" spans="1:31" ht="16.5" hidden="1" customHeight="1" thickBot="1">
      <c r="B207" s="103"/>
      <c r="C207" s="213"/>
      <c r="D207" s="206"/>
      <c r="E207" s="206"/>
      <c r="F207" s="206"/>
      <c r="G207" s="206"/>
      <c r="H207" s="206"/>
      <c r="I207" s="206"/>
      <c r="J207" s="206"/>
      <c r="K207" s="206"/>
      <c r="L207" s="206"/>
      <c r="M207" s="206"/>
      <c r="N207" s="206"/>
      <c r="O207" s="206"/>
      <c r="P207" s="1"/>
      <c r="T207" s="14"/>
      <c r="U207" s="502" t="s">
        <v>80</v>
      </c>
      <c r="V207" s="502"/>
      <c r="W207" s="502"/>
      <c r="X207" s="502"/>
      <c r="Y207" s="502"/>
      <c r="Z207" s="139"/>
      <c r="AA207" s="145"/>
      <c r="AB207" s="210">
        <f>IF('Mon Entreprise'!K8&gt;=Annexes!O20,IF(AB179&gt;=AB181,Y179,Y181),IF(AB179&gt;=AB180,Y179,Y180))</f>
        <v>0</v>
      </c>
      <c r="AC207" s="139"/>
      <c r="AD207" s="1"/>
      <c r="AE207" s="13"/>
    </row>
    <row r="208" spans="1:31" ht="16.5" hidden="1" customHeight="1">
      <c r="B208" s="103"/>
      <c r="C208" s="213"/>
      <c r="D208" s="508"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509"/>
      <c r="F208" s="509"/>
      <c r="G208" s="509"/>
      <c r="H208" s="509"/>
      <c r="I208" s="509"/>
      <c r="J208" s="509"/>
      <c r="K208" s="509"/>
      <c r="L208" s="509"/>
      <c r="M208" s="509"/>
      <c r="N208" s="509"/>
      <c r="O208" s="510"/>
      <c r="P208" s="1"/>
      <c r="T208" s="14"/>
      <c r="U208" s="490" t="s">
        <v>104</v>
      </c>
      <c r="V208" s="490"/>
      <c r="W208" s="490"/>
      <c r="X208" s="490"/>
      <c r="Y208" s="490"/>
      <c r="Z208" s="1"/>
      <c r="AA208" s="14"/>
      <c r="AB208" s="211">
        <f>IF(AB206=1,AB204,IF(AB204*AB206&gt;1500,IF(AB204&gt;1500,AB204*AB206,"Impossible"),IF(AB204&lt;1500,AB204,1500)))</f>
        <v>0</v>
      </c>
      <c r="AC208" s="1"/>
      <c r="AD208" s="1"/>
      <c r="AE208" s="13"/>
    </row>
    <row r="209" spans="2:31" ht="16.5" hidden="1" customHeight="1">
      <c r="B209" s="173"/>
      <c r="C209" s="213"/>
      <c r="D209" s="511"/>
      <c r="E209" s="512"/>
      <c r="F209" s="512"/>
      <c r="G209" s="512"/>
      <c r="H209" s="512"/>
      <c r="I209" s="512"/>
      <c r="J209" s="512"/>
      <c r="K209" s="512"/>
      <c r="L209" s="512"/>
      <c r="M209" s="512"/>
      <c r="N209" s="512"/>
      <c r="O209" s="513"/>
      <c r="P209" s="1"/>
      <c r="T209" s="14"/>
      <c r="U209" s="211"/>
      <c r="V209" s="211"/>
      <c r="W209" s="211"/>
      <c r="X209" s="211"/>
      <c r="Y209" s="211"/>
      <c r="Z209" s="1"/>
      <c r="AA209" s="1"/>
      <c r="AB209" s="1"/>
      <c r="AC209" s="1"/>
      <c r="AD209" s="1"/>
      <c r="AE209" s="13"/>
    </row>
    <row r="210" spans="2:31" ht="16.5" hidden="1" customHeight="1">
      <c r="B210" s="103"/>
      <c r="C210" s="213"/>
      <c r="D210" s="511"/>
      <c r="E210" s="512"/>
      <c r="F210" s="512"/>
      <c r="G210" s="512"/>
      <c r="H210" s="512"/>
      <c r="I210" s="512"/>
      <c r="J210" s="512"/>
      <c r="K210" s="512"/>
      <c r="L210" s="512"/>
      <c r="M210" s="512"/>
      <c r="N210" s="512"/>
      <c r="O210" s="513"/>
      <c r="P210" s="1"/>
      <c r="T210" s="14"/>
      <c r="U210" s="490"/>
      <c r="V210" s="490"/>
      <c r="W210" s="490"/>
      <c r="X210" s="490"/>
      <c r="Y210" s="490"/>
      <c r="Z210" s="1"/>
      <c r="AA210" s="1"/>
      <c r="AB210" s="1"/>
      <c r="AC210" s="1"/>
      <c r="AD210" s="1"/>
      <c r="AE210" s="13"/>
    </row>
    <row r="211" spans="2:31" ht="16.5" hidden="1" customHeight="1" thickBot="1">
      <c r="B211" s="103"/>
      <c r="C211" s="213"/>
      <c r="D211" s="514"/>
      <c r="E211" s="515"/>
      <c r="F211" s="515"/>
      <c r="G211" s="515"/>
      <c r="H211" s="515"/>
      <c r="I211" s="515"/>
      <c r="J211" s="515"/>
      <c r="K211" s="515"/>
      <c r="L211" s="515"/>
      <c r="M211" s="515"/>
      <c r="N211" s="515"/>
      <c r="O211" s="516"/>
      <c r="P211" s="1"/>
      <c r="T211" s="14"/>
      <c r="U211" s="211"/>
      <c r="V211" s="211"/>
      <c r="W211" s="211"/>
      <c r="X211" s="211"/>
      <c r="Y211" s="211"/>
      <c r="Z211" s="1"/>
      <c r="AA211" s="1"/>
      <c r="AB211" s="1"/>
      <c r="AC211" s="1"/>
      <c r="AD211" s="1"/>
      <c r="AE211" s="13"/>
    </row>
    <row r="212" spans="2:31" ht="16.5" hidden="1" customHeight="1">
      <c r="B212" s="103"/>
      <c r="C212" s="169"/>
      <c r="D212" s="174"/>
      <c r="E212" s="174"/>
      <c r="F212" s="174"/>
      <c r="G212" s="174"/>
      <c r="H212" s="174"/>
      <c r="I212" s="174"/>
      <c r="J212" s="174"/>
      <c r="K212" s="174"/>
      <c r="L212" s="174"/>
      <c r="M212" s="174"/>
      <c r="N212" s="174"/>
      <c r="O212" s="174"/>
      <c r="P212" s="1"/>
      <c r="T212" s="14"/>
      <c r="U212" s="1"/>
      <c r="V212" s="1"/>
      <c r="W212" s="1"/>
      <c r="X212" s="1"/>
      <c r="Y212" s="1"/>
      <c r="Z212" s="1"/>
      <c r="AA212" s="1"/>
      <c r="AB212" s="1"/>
      <c r="AC212" s="1"/>
      <c r="AD212" s="1"/>
      <c r="AE212" s="13"/>
    </row>
    <row r="213" spans="2:31" ht="16.5" hidden="1" customHeight="1">
      <c r="B213" s="103"/>
      <c r="C213" s="213"/>
      <c r="D213" s="206"/>
      <c r="E213" s="206"/>
      <c r="F213" s="206"/>
      <c r="G213" s="206"/>
      <c r="H213" s="206"/>
      <c r="I213" s="206"/>
      <c r="J213" s="206"/>
      <c r="K213" s="206"/>
      <c r="L213" s="206"/>
      <c r="M213" s="206"/>
      <c r="N213" s="206"/>
      <c r="O213" s="206"/>
      <c r="P213" s="1"/>
      <c r="T213" s="14"/>
      <c r="U213" s="1"/>
      <c r="V213" s="1"/>
      <c r="W213" s="1"/>
      <c r="X213" s="1"/>
      <c r="Y213" s="1"/>
      <c r="Z213" s="1"/>
      <c r="AA213" s="1"/>
      <c r="AB213" s="1"/>
      <c r="AC213" s="1"/>
      <c r="AD213" s="1"/>
      <c r="AE213" s="13"/>
    </row>
    <row r="214" spans="2:31" ht="16.5" hidden="1" customHeight="1">
      <c r="B214" s="103"/>
      <c r="C214" s="529" t="s">
        <v>304</v>
      </c>
      <c r="D214" s="529"/>
      <c r="E214" s="529"/>
      <c r="F214" s="529"/>
      <c r="G214" s="529"/>
      <c r="H214" s="529"/>
      <c r="I214" s="529"/>
      <c r="J214" s="529"/>
      <c r="K214" s="529"/>
      <c r="L214" s="529"/>
      <c r="M214" s="529"/>
      <c r="N214" s="529"/>
      <c r="O214" s="529"/>
      <c r="P214" s="1"/>
      <c r="T214" s="14"/>
      <c r="U214" s="502" t="s">
        <v>82</v>
      </c>
      <c r="V214" s="502"/>
      <c r="W214" s="502"/>
      <c r="X214" s="502"/>
      <c r="Y214" s="502"/>
      <c r="Z214" s="68"/>
      <c r="AA214" s="1"/>
      <c r="AB214" s="1">
        <f>IFERROR(IF(AB187="Non",0,IF(AB190&gt;=0.5,IF(AB189&gt;Annexes!O5,Annexes!O5,ROUND(AB189,0)),0)),0)</f>
        <v>0</v>
      </c>
      <c r="AC214" s="1"/>
      <c r="AD214" s="1"/>
      <c r="AE214" s="13"/>
    </row>
    <row r="215" spans="2:31" ht="16.5" hidden="1" customHeight="1">
      <c r="B215" s="103"/>
      <c r="C215" s="529"/>
      <c r="D215" s="529"/>
      <c r="E215" s="529"/>
      <c r="F215" s="529"/>
      <c r="G215" s="529"/>
      <c r="H215" s="529"/>
      <c r="I215" s="529"/>
      <c r="J215" s="529"/>
      <c r="K215" s="529"/>
      <c r="L215" s="529"/>
      <c r="M215" s="529"/>
      <c r="N215" s="529"/>
      <c r="O215" s="529"/>
      <c r="P215" s="1"/>
      <c r="T215" s="14"/>
      <c r="U215" s="502" t="s">
        <v>81</v>
      </c>
      <c r="V215" s="502"/>
      <c r="W215" s="502"/>
      <c r="X215" s="502"/>
      <c r="Y215" s="502"/>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hidden="1" customHeight="1">
      <c r="B216" s="173"/>
      <c r="C216" s="529"/>
      <c r="D216" s="529"/>
      <c r="E216" s="529"/>
      <c r="F216" s="529"/>
      <c r="G216" s="529"/>
      <c r="H216" s="529"/>
      <c r="I216" s="529"/>
      <c r="J216" s="529"/>
      <c r="K216" s="529"/>
      <c r="L216" s="529"/>
      <c r="M216" s="529"/>
      <c r="N216" s="529"/>
      <c r="O216" s="529"/>
      <c r="P216" s="1"/>
      <c r="T216" s="14"/>
      <c r="U216" s="502" t="s">
        <v>399</v>
      </c>
      <c r="V216" s="502"/>
      <c r="W216" s="502"/>
      <c r="X216" s="502"/>
      <c r="Y216" s="502"/>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hidden="1" customHeight="1">
      <c r="B217" s="173"/>
      <c r="C217" s="213"/>
      <c r="D217" s="212"/>
      <c r="E217" s="417"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417"/>
      <c r="G217" s="417"/>
      <c r="H217" s="417"/>
      <c r="I217" s="417"/>
      <c r="J217" s="417"/>
      <c r="K217" s="417"/>
      <c r="L217" s="417"/>
      <c r="M217" s="417"/>
      <c r="N217" s="417"/>
      <c r="O217" s="417"/>
      <c r="P217" s="1"/>
      <c r="T217" s="14"/>
      <c r="U217" s="1"/>
      <c r="V217" s="1"/>
      <c r="W217" s="1"/>
      <c r="X217" s="1"/>
      <c r="Y217" s="1"/>
      <c r="Z217" s="1"/>
      <c r="AA217" s="1"/>
      <c r="AB217" s="1"/>
      <c r="AC217" s="1"/>
      <c r="AD217" s="1"/>
      <c r="AE217" s="13"/>
    </row>
    <row r="218" spans="2:31" ht="30" hidden="1" customHeight="1">
      <c r="B218" s="173"/>
      <c r="C218" s="213"/>
      <c r="D218" s="212"/>
      <c r="E218" s="417"/>
      <c r="F218" s="417"/>
      <c r="G218" s="417"/>
      <c r="H218" s="417"/>
      <c r="I218" s="417"/>
      <c r="J218" s="417"/>
      <c r="K218" s="417"/>
      <c r="L218" s="417"/>
      <c r="M218" s="417"/>
      <c r="N218" s="417"/>
      <c r="O218" s="417"/>
      <c r="P218" s="1"/>
      <c r="T218" s="14"/>
      <c r="U218" s="1"/>
      <c r="V218" s="1"/>
      <c r="W218" s="1"/>
      <c r="X218" s="1"/>
      <c r="Y218" s="1"/>
      <c r="Z218" s="1"/>
      <c r="AA218" s="1"/>
      <c r="AB218" s="1"/>
      <c r="AC218" s="1"/>
      <c r="AD218" s="1"/>
      <c r="AE218" s="13"/>
    </row>
    <row r="219" spans="2:31" ht="16.5" hidden="1" customHeight="1">
      <c r="B219" s="173"/>
      <c r="C219" s="213"/>
      <c r="D219" s="417"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417"/>
      <c r="F219" s="417"/>
      <c r="G219" s="417"/>
      <c r="H219" s="417"/>
      <c r="I219" s="417"/>
      <c r="J219" s="417"/>
      <c r="K219" s="417"/>
      <c r="L219" s="417"/>
      <c r="M219" s="417"/>
      <c r="N219" s="417"/>
      <c r="O219" s="417"/>
      <c r="P219" s="206"/>
      <c r="Q219" s="206"/>
      <c r="T219" s="14"/>
      <c r="U219" s="1"/>
      <c r="V219" s="1"/>
      <c r="W219" s="1"/>
      <c r="X219" s="1"/>
      <c r="Y219" s="1"/>
      <c r="Z219" s="1"/>
      <c r="AA219" s="1"/>
      <c r="AB219" s="1"/>
      <c r="AC219" s="1"/>
      <c r="AD219" s="1"/>
      <c r="AE219" s="13"/>
    </row>
    <row r="220" spans="2:31" ht="16.5" hidden="1" customHeight="1">
      <c r="B220" s="103"/>
      <c r="C220" s="213"/>
      <c r="D220" s="523"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523"/>
      <c r="F220" s="523"/>
      <c r="G220" s="523"/>
      <c r="H220" s="523"/>
      <c r="I220" s="523"/>
      <c r="J220" s="523"/>
      <c r="K220" s="523"/>
      <c r="L220" s="523"/>
      <c r="M220" s="523"/>
      <c r="N220" s="523"/>
      <c r="O220" s="523"/>
      <c r="P220" s="206"/>
      <c r="Q220" s="206"/>
      <c r="T220" s="14"/>
      <c r="U220" s="1"/>
      <c r="V220" s="1"/>
      <c r="W220" s="1"/>
      <c r="X220" s="1"/>
      <c r="Y220" s="1"/>
      <c r="Z220" s="1"/>
      <c r="AA220" s="1"/>
      <c r="AB220" s="1"/>
      <c r="AC220" s="1"/>
      <c r="AD220" s="1"/>
      <c r="AE220" s="13"/>
    </row>
    <row r="221" spans="2:31" ht="16.5" hidden="1" customHeight="1">
      <c r="B221" s="168"/>
      <c r="C221" s="213"/>
      <c r="D221" s="523"/>
      <c r="E221" s="523"/>
      <c r="F221" s="523"/>
      <c r="G221" s="523"/>
      <c r="H221" s="523"/>
      <c r="I221" s="523"/>
      <c r="J221" s="523"/>
      <c r="K221" s="523"/>
      <c r="L221" s="523"/>
      <c r="M221" s="523"/>
      <c r="N221" s="523"/>
      <c r="O221" s="523"/>
      <c r="P221" s="206"/>
      <c r="Q221" s="206"/>
      <c r="T221" s="14"/>
      <c r="U221" s="1"/>
      <c r="V221" s="1"/>
      <c r="W221" s="1"/>
      <c r="X221" s="1"/>
      <c r="Y221" s="1"/>
      <c r="Z221" s="1"/>
      <c r="AA221" s="1"/>
      <c r="AB221" s="1"/>
      <c r="AC221" s="1"/>
      <c r="AD221" s="1"/>
      <c r="AE221" s="13"/>
    </row>
    <row r="222" spans="2:31" ht="16.5" hidden="1" customHeight="1" thickBot="1">
      <c r="B222" s="168"/>
      <c r="C222" s="213"/>
      <c r="D222" s="205"/>
      <c r="E222" s="206"/>
      <c r="F222" s="206"/>
      <c r="G222" s="206"/>
      <c r="H222" s="206"/>
      <c r="I222" s="206"/>
      <c r="J222" s="206"/>
      <c r="K222" s="206"/>
      <c r="L222" s="206"/>
      <c r="M222" s="206"/>
      <c r="N222" s="206"/>
      <c r="O222" s="206"/>
      <c r="P222" s="206"/>
      <c r="Q222" s="206"/>
      <c r="T222" s="14"/>
      <c r="U222" s="1"/>
      <c r="V222" s="1"/>
      <c r="W222" s="1"/>
      <c r="X222" s="1"/>
      <c r="Y222" s="1"/>
      <c r="Z222" s="1"/>
      <c r="AA222" s="1"/>
      <c r="AB222" s="1"/>
      <c r="AC222" s="1"/>
      <c r="AD222" s="1"/>
      <c r="AE222" s="13"/>
    </row>
    <row r="223" spans="2:31" ht="16.5" hidden="1" customHeight="1">
      <c r="B223" s="103"/>
      <c r="C223" s="180"/>
      <c r="D223" s="526"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509"/>
      <c r="F223" s="509"/>
      <c r="G223" s="509"/>
      <c r="H223" s="509"/>
      <c r="I223" s="509"/>
      <c r="J223" s="509"/>
      <c r="K223" s="509"/>
      <c r="L223" s="509"/>
      <c r="M223" s="509"/>
      <c r="N223" s="509"/>
      <c r="O223" s="510"/>
      <c r="P223" s="206"/>
      <c r="Q223" s="206"/>
      <c r="T223" s="14"/>
      <c r="U223" s="1"/>
      <c r="V223" s="1"/>
      <c r="W223" s="1"/>
      <c r="X223" s="1"/>
      <c r="Y223" s="1"/>
      <c r="Z223" s="1"/>
      <c r="AA223" s="1"/>
      <c r="AB223" s="1"/>
      <c r="AC223" s="1"/>
      <c r="AD223" s="1"/>
      <c r="AE223" s="13"/>
    </row>
    <row r="224" spans="2:31" ht="16.5" hidden="1" customHeight="1">
      <c r="B224" s="103"/>
      <c r="C224" s="180"/>
      <c r="D224" s="511"/>
      <c r="E224" s="512"/>
      <c r="F224" s="512"/>
      <c r="G224" s="512"/>
      <c r="H224" s="512"/>
      <c r="I224" s="512"/>
      <c r="J224" s="512"/>
      <c r="K224" s="512"/>
      <c r="L224" s="512"/>
      <c r="M224" s="512"/>
      <c r="N224" s="512"/>
      <c r="O224" s="513"/>
      <c r="P224" s="206"/>
      <c r="Q224" s="206"/>
      <c r="T224" s="14"/>
      <c r="U224" s="1"/>
      <c r="V224" s="1"/>
      <c r="W224" s="1"/>
      <c r="X224" s="1"/>
      <c r="Y224" s="1"/>
      <c r="Z224" s="1"/>
      <c r="AA224" s="1"/>
      <c r="AB224" s="1"/>
      <c r="AC224" s="1"/>
      <c r="AD224" s="1"/>
      <c r="AE224" s="13"/>
    </row>
    <row r="225" spans="2:31" ht="16.5" hidden="1" customHeight="1">
      <c r="B225" s="103"/>
      <c r="C225" s="180"/>
      <c r="D225" s="511"/>
      <c r="E225" s="512"/>
      <c r="F225" s="512"/>
      <c r="G225" s="512"/>
      <c r="H225" s="512"/>
      <c r="I225" s="512"/>
      <c r="J225" s="512"/>
      <c r="K225" s="512"/>
      <c r="L225" s="512"/>
      <c r="M225" s="512"/>
      <c r="N225" s="512"/>
      <c r="O225" s="513"/>
      <c r="P225" s="175"/>
      <c r="Q225" s="175"/>
      <c r="T225" s="14"/>
      <c r="U225" s="1"/>
      <c r="V225" s="1"/>
      <c r="W225" s="1"/>
      <c r="X225" s="1"/>
      <c r="Y225" s="1"/>
      <c r="Z225" s="1"/>
      <c r="AA225" s="1"/>
      <c r="AB225" s="1"/>
      <c r="AC225" s="1"/>
      <c r="AD225" s="1"/>
      <c r="AE225" s="13"/>
    </row>
    <row r="226" spans="2:31" ht="16.5" hidden="1" customHeight="1" thickBot="1">
      <c r="B226" s="103"/>
      <c r="C226" s="180"/>
      <c r="D226" s="514"/>
      <c r="E226" s="515"/>
      <c r="F226" s="515"/>
      <c r="G226" s="515"/>
      <c r="H226" s="515"/>
      <c r="I226" s="515"/>
      <c r="J226" s="515"/>
      <c r="K226" s="515"/>
      <c r="L226" s="515"/>
      <c r="M226" s="515"/>
      <c r="N226" s="515"/>
      <c r="O226" s="516"/>
      <c r="T226" s="14"/>
      <c r="U226" s="1"/>
      <c r="V226" s="1"/>
      <c r="W226" s="1"/>
      <c r="X226" s="1"/>
      <c r="Y226" s="1"/>
      <c r="Z226" s="1"/>
      <c r="AA226" s="1"/>
      <c r="AB226" s="1"/>
      <c r="AC226" s="1"/>
      <c r="AD226" s="1"/>
      <c r="AE226" s="13"/>
    </row>
    <row r="227" spans="2:31" ht="16.5" hidden="1" customHeight="1">
      <c r="B227" s="5"/>
      <c r="C227" s="5"/>
      <c r="D227" s="216"/>
      <c r="E227" s="216"/>
      <c r="F227" s="216"/>
      <c r="G227" s="216"/>
      <c r="H227" s="216"/>
      <c r="I227" s="216"/>
      <c r="J227" s="216"/>
      <c r="K227" s="216"/>
      <c r="L227" s="216"/>
      <c r="M227" s="216"/>
      <c r="N227" s="216"/>
      <c r="O227" s="216"/>
      <c r="P227" s="177"/>
      <c r="Q227" s="177"/>
      <c r="T227" s="14"/>
      <c r="U227" s="1"/>
      <c r="V227" s="1"/>
      <c r="W227" s="1"/>
      <c r="X227" s="1"/>
      <c r="Y227" s="1"/>
      <c r="Z227" s="1"/>
      <c r="AA227" s="1"/>
      <c r="AB227" s="1"/>
      <c r="AC227" s="1"/>
      <c r="AD227" s="1"/>
      <c r="AE227" s="13"/>
    </row>
    <row r="228" spans="2:31" hidden="1">
      <c r="B228" s="5"/>
      <c r="C228" s="5"/>
      <c r="D228" s="296"/>
      <c r="E228" s="296"/>
      <c r="F228" s="296"/>
      <c r="G228" s="296"/>
      <c r="H228" s="296"/>
      <c r="I228" s="296"/>
      <c r="J228" s="296"/>
      <c r="K228" s="296"/>
      <c r="L228" s="296"/>
      <c r="M228" s="296"/>
      <c r="N228" s="296"/>
      <c r="O228" s="296"/>
      <c r="P228" s="177"/>
      <c r="Q228" s="177"/>
      <c r="T228" s="15"/>
      <c r="U228" s="10"/>
      <c r="V228" s="10"/>
      <c r="W228" s="10"/>
      <c r="X228" s="10"/>
      <c r="Y228" s="10"/>
      <c r="Z228" s="10"/>
      <c r="AA228" s="10"/>
      <c r="AB228" s="10"/>
      <c r="AC228" s="10"/>
      <c r="AD228" s="10"/>
      <c r="AE228" s="4"/>
    </row>
    <row r="229" spans="2:31">
      <c r="B229" s="5"/>
      <c r="C229" s="5"/>
      <c r="D229" s="216"/>
      <c r="E229" s="216"/>
      <c r="F229" s="216"/>
      <c r="G229" s="216"/>
      <c r="H229" s="216"/>
      <c r="I229" s="216"/>
      <c r="J229" s="216"/>
      <c r="K229" s="216"/>
      <c r="L229" s="216"/>
      <c r="M229" s="216"/>
      <c r="N229" s="216"/>
      <c r="O229" s="216"/>
      <c r="P229" s="177"/>
      <c r="Q229" s="177"/>
      <c r="T229" s="16"/>
      <c r="U229" s="11"/>
      <c r="V229" s="11"/>
      <c r="W229" s="11"/>
      <c r="X229" s="11"/>
      <c r="Y229" s="11"/>
      <c r="Z229" s="11"/>
      <c r="AA229" s="11"/>
      <c r="AB229" s="11"/>
      <c r="AC229" s="11"/>
      <c r="AD229" s="11"/>
      <c r="AE229" s="12"/>
    </row>
    <row r="230" spans="2:31" ht="16.5" thickBot="1">
      <c r="B230" s="220"/>
      <c r="C230" s="488" t="s">
        <v>309</v>
      </c>
      <c r="D230" s="488"/>
      <c r="E230" s="488"/>
      <c r="F230" s="488"/>
      <c r="G230" s="488"/>
      <c r="H230" s="488"/>
      <c r="I230" s="221"/>
      <c r="J230" s="221"/>
      <c r="K230" s="221"/>
      <c r="L230" s="221"/>
      <c r="M230" s="221"/>
      <c r="N230" s="221"/>
      <c r="O230" s="221"/>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90" t="s">
        <v>20</v>
      </c>
      <c r="V231" s="490"/>
      <c r="W231" s="490"/>
      <c r="X231" s="1"/>
      <c r="Y231" s="253" t="s">
        <v>6</v>
      </c>
      <c r="Z231" s="253"/>
      <c r="AA231" s="253"/>
      <c r="AB231" s="253" t="s">
        <v>23</v>
      </c>
      <c r="AC231" s="253"/>
      <c r="AD231" s="253"/>
      <c r="AE231" s="26" t="s">
        <v>24</v>
      </c>
    </row>
    <row r="232" spans="2:31" ht="15" customHeight="1">
      <c r="B232" s="103"/>
      <c r="C232" s="489" t="s">
        <v>312</v>
      </c>
      <c r="D232" s="489"/>
      <c r="E232" s="489"/>
      <c r="F232" s="489"/>
      <c r="G232" s="489"/>
      <c r="H232" s="489"/>
      <c r="I232" s="489"/>
      <c r="J232" s="489"/>
      <c r="K232" s="489"/>
      <c r="L232" s="489"/>
      <c r="M232" s="489"/>
      <c r="N232" s="489"/>
      <c r="O232" s="489"/>
      <c r="P232" s="1"/>
      <c r="T232" s="25"/>
      <c r="U232" s="253"/>
      <c r="V232" s="253"/>
      <c r="W232" s="253"/>
      <c r="X232" s="1"/>
      <c r="Y232" s="253"/>
      <c r="Z232" s="253"/>
      <c r="AA232" s="253"/>
      <c r="AB232" s="253"/>
      <c r="AC232" s="253"/>
      <c r="AD232" s="253"/>
      <c r="AE232" s="26"/>
    </row>
    <row r="233" spans="2:31" ht="15.75" customHeight="1">
      <c r="B233" s="103"/>
      <c r="C233" s="251"/>
      <c r="D233" s="60" t="s">
        <v>123</v>
      </c>
      <c r="E233" s="251"/>
      <c r="F233" s="251"/>
      <c r="G233" s="251"/>
      <c r="H233" s="251"/>
      <c r="I233" s="251"/>
      <c r="J233" s="251"/>
      <c r="K233" s="251"/>
      <c r="L233" s="251"/>
      <c r="M233" s="251"/>
      <c r="N233" s="251"/>
      <c r="O233" s="251"/>
      <c r="P233" s="1"/>
      <c r="T233" s="491" t="s">
        <v>311</v>
      </c>
      <c r="U233" s="490"/>
      <c r="V233" s="490"/>
      <c r="W233" s="490"/>
      <c r="X233" s="1"/>
      <c r="Y233" s="7">
        <f>'Mon Entreprise'!I124</f>
        <v>0</v>
      </c>
      <c r="Z233" s="133"/>
      <c r="AA233" s="21"/>
      <c r="AB233" s="7">
        <f>IF('Mon Entreprise'!I124-'Mon Entreprise'!M124&lt;0,0,'Mon Entreprise'!I124-'Mon Entreprise'!M124)</f>
        <v>0</v>
      </c>
      <c r="AC233" s="13"/>
      <c r="AD233" s="1"/>
      <c r="AE233" s="27">
        <f>IFERROR(1-'Mon Entreprise'!M124/'Mon Entreprise'!I124,0)</f>
        <v>0</v>
      </c>
    </row>
    <row r="234" spans="2:31" ht="16.5" thickBot="1">
      <c r="B234" s="103"/>
      <c r="C234" s="251"/>
      <c r="D234" s="60"/>
      <c r="E234" s="251"/>
      <c r="F234" s="251"/>
      <c r="G234" s="251"/>
      <c r="H234" s="251"/>
      <c r="I234" s="251"/>
      <c r="J234" s="251"/>
      <c r="K234" s="251"/>
      <c r="L234" s="251"/>
      <c r="M234" s="251"/>
      <c r="N234" s="251"/>
      <c r="O234" s="251"/>
      <c r="P234" s="1"/>
      <c r="T234" s="491" t="s">
        <v>25</v>
      </c>
      <c r="U234" s="490"/>
      <c r="V234" s="490"/>
      <c r="W234" s="490"/>
      <c r="X234" s="1"/>
      <c r="Y234" s="7">
        <f>'Mon Entreprise'!I98</f>
        <v>0</v>
      </c>
      <c r="Z234" s="133"/>
      <c r="AA234" s="21"/>
      <c r="AB234" s="7">
        <f>IF('Mon Entreprise'!I98-'Mon Entreprise'!M124&lt;0,0,'Mon Entreprise'!I98-'Mon Entreprise'!M124)</f>
        <v>0</v>
      </c>
      <c r="AC234" s="36"/>
      <c r="AD234" s="1"/>
      <c r="AE234" s="27">
        <f>IFERROR(1-'Mon Entreprise'!M124/'Mon Entreprise'!I98,0)</f>
        <v>0</v>
      </c>
    </row>
    <row r="235" spans="2:31" ht="15.75">
      <c r="B235" s="103"/>
      <c r="C235" s="251"/>
      <c r="D235" s="492"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93"/>
      <c r="F235" s="493"/>
      <c r="G235" s="493"/>
      <c r="H235" s="493"/>
      <c r="I235" s="493"/>
      <c r="J235" s="493"/>
      <c r="K235" s="493"/>
      <c r="L235" s="493"/>
      <c r="M235" s="493"/>
      <c r="N235" s="493"/>
      <c r="O235" s="494"/>
      <c r="P235" s="1"/>
      <c r="T235" s="501" t="s">
        <v>22</v>
      </c>
      <c r="U235" s="502"/>
      <c r="V235" s="502"/>
      <c r="W235" s="502"/>
      <c r="X235" s="139"/>
      <c r="Y235" s="140" t="str">
        <f>IF('Mon Entreprise'!I162="","NC",'Mon Entreprise'!I162)</f>
        <v>NC</v>
      </c>
      <c r="Z235" s="191"/>
      <c r="AA235" s="192"/>
      <c r="AB235" s="143" t="str">
        <f>IFERROR(IF('Mon Entreprise'!I162-'Mon Entreprise'!M124&lt;0,0,'Mon Entreprise'!I162-'Mon Entreprise'!M124),"NC")</f>
        <v>NC</v>
      </c>
      <c r="AC235" s="193"/>
      <c r="AD235" s="139"/>
      <c r="AE235" s="146" t="str">
        <f>IFERROR(1-'Mon Entreprise'!M124/'Mon Entreprise'!I162,"NC")</f>
        <v>NC</v>
      </c>
    </row>
    <row r="236" spans="2:31" ht="15.75" customHeight="1">
      <c r="B236" s="103"/>
      <c r="C236" s="251"/>
      <c r="D236" s="495"/>
      <c r="E236" s="496"/>
      <c r="F236" s="496"/>
      <c r="G236" s="496"/>
      <c r="H236" s="496"/>
      <c r="I236" s="496"/>
      <c r="J236" s="496"/>
      <c r="K236" s="496"/>
      <c r="L236" s="496"/>
      <c r="M236" s="496"/>
      <c r="N236" s="496"/>
      <c r="O236" s="497"/>
      <c r="P236" s="1"/>
      <c r="T236" s="14"/>
      <c r="U236" s="1"/>
      <c r="V236" s="1"/>
      <c r="W236" s="1"/>
      <c r="X236" s="1"/>
      <c r="Y236" s="1"/>
      <c r="Z236" s="1"/>
      <c r="AA236" s="1"/>
      <c r="AB236" s="1"/>
      <c r="AC236" s="1"/>
      <c r="AD236" s="1"/>
      <c r="AE236" s="13"/>
    </row>
    <row r="237" spans="2:31" ht="15.75" customHeight="1">
      <c r="B237" s="103"/>
      <c r="C237" s="251"/>
      <c r="D237" s="495"/>
      <c r="E237" s="496"/>
      <c r="F237" s="496"/>
      <c r="G237" s="496"/>
      <c r="H237" s="496"/>
      <c r="I237" s="496"/>
      <c r="J237" s="496"/>
      <c r="K237" s="496"/>
      <c r="L237" s="496"/>
      <c r="M237" s="496"/>
      <c r="N237" s="496"/>
      <c r="O237" s="497"/>
      <c r="P237" s="1"/>
      <c r="T237" s="14"/>
      <c r="AC237" s="1"/>
      <c r="AD237" s="1"/>
      <c r="AE237" s="13"/>
    </row>
    <row r="238" spans="2:31" ht="15.75" customHeight="1">
      <c r="B238" s="103"/>
      <c r="C238" s="251"/>
      <c r="D238" s="495"/>
      <c r="E238" s="496"/>
      <c r="F238" s="496"/>
      <c r="G238" s="496"/>
      <c r="H238" s="496"/>
      <c r="I238" s="496"/>
      <c r="J238" s="496"/>
      <c r="K238" s="496"/>
      <c r="L238" s="496"/>
      <c r="M238" s="496"/>
      <c r="N238" s="496"/>
      <c r="O238" s="497"/>
      <c r="P238" s="1"/>
      <c r="T238" s="14"/>
      <c r="AC238" s="1"/>
      <c r="AD238" s="1"/>
      <c r="AE238" s="13"/>
    </row>
    <row r="239" spans="2:31" ht="15.75" customHeight="1" thickBot="1">
      <c r="B239" s="103"/>
      <c r="C239" s="251"/>
      <c r="D239" s="498"/>
      <c r="E239" s="499"/>
      <c r="F239" s="499"/>
      <c r="G239" s="499"/>
      <c r="H239" s="499"/>
      <c r="I239" s="499"/>
      <c r="J239" s="499"/>
      <c r="K239" s="499"/>
      <c r="L239" s="499"/>
      <c r="M239" s="499"/>
      <c r="N239" s="499"/>
      <c r="O239" s="500"/>
      <c r="P239" s="1"/>
      <c r="T239" s="14"/>
      <c r="AC239" s="1"/>
      <c r="AD239" s="1"/>
      <c r="AE239" s="13"/>
    </row>
    <row r="240" spans="2:31" ht="16.5" hidden="1" customHeight="1">
      <c r="B240" s="103"/>
      <c r="C240" s="251"/>
      <c r="D240" s="60"/>
      <c r="E240" s="251"/>
      <c r="F240" s="251"/>
      <c r="G240" s="251"/>
      <c r="H240" s="251"/>
      <c r="I240" s="251"/>
      <c r="J240" s="251"/>
      <c r="K240" s="251"/>
      <c r="L240" s="251"/>
      <c r="M240" s="251"/>
      <c r="N240" s="251"/>
      <c r="O240" s="251"/>
      <c r="P240" s="1"/>
      <c r="T240" s="14"/>
      <c r="U240" s="1"/>
      <c r="V240" s="1"/>
      <c r="W240" s="1"/>
      <c r="X240" s="1"/>
      <c r="Y240" s="1"/>
      <c r="Z240" s="1"/>
      <c r="AA240" s="1"/>
      <c r="AB240" s="1"/>
      <c r="AC240" s="1"/>
      <c r="AD240" s="1"/>
      <c r="AE240" s="13"/>
    </row>
    <row r="241" spans="2:31" ht="15.75" hidden="1">
      <c r="B241" s="103"/>
      <c r="C241" s="78"/>
      <c r="D241" s="78"/>
      <c r="E241" s="78"/>
      <c r="F241" s="78"/>
      <c r="G241" s="78"/>
      <c r="H241" s="78"/>
      <c r="I241" s="78"/>
      <c r="J241" s="78"/>
      <c r="K241" s="78"/>
      <c r="L241" s="78"/>
      <c r="M241" s="78"/>
      <c r="N241" s="78"/>
      <c r="O241" s="78"/>
      <c r="P241" s="1"/>
      <c r="T241" s="14"/>
      <c r="U241" s="506" t="s">
        <v>72</v>
      </c>
      <c r="V241" s="506"/>
      <c r="W241" s="506"/>
      <c r="X241" s="506"/>
      <c r="Y241" s="506"/>
      <c r="Z241" s="1"/>
      <c r="AA241" s="14"/>
      <c r="AB241" s="250" t="str">
        <f>IF('Mon Entreprise'!K8&lt;=Annexes!Q26,"Oui","Non")</f>
        <v>Oui</v>
      </c>
      <c r="AC241" s="1"/>
      <c r="AD241" s="1"/>
      <c r="AE241" s="13"/>
    </row>
    <row r="242" spans="2:31" ht="15.75" hidden="1">
      <c r="B242" s="103"/>
      <c r="C242" s="251"/>
      <c r="D242" s="60"/>
      <c r="E242" s="251"/>
      <c r="F242" s="251"/>
      <c r="G242" s="251"/>
      <c r="H242" s="251"/>
      <c r="I242" s="251"/>
      <c r="J242" s="251"/>
      <c r="K242" s="251"/>
      <c r="L242" s="251"/>
      <c r="M242" s="251"/>
      <c r="N242" s="251"/>
      <c r="O242" s="251"/>
      <c r="P242" s="1"/>
      <c r="T242" s="14"/>
      <c r="U242" s="293"/>
      <c r="V242" s="506" t="s">
        <v>393</v>
      </c>
      <c r="W242" s="506"/>
      <c r="X242" s="506"/>
      <c r="Y242" s="506"/>
      <c r="Z242" s="1"/>
      <c r="AA242" s="14"/>
      <c r="AB242" s="292">
        <f>IF('Mon Entreprise'!K8&gt;=Annexes!O20,IF(Y233&gt;=Y235,Y233,Y235),IF(Y233&gt;=Y234,Y233,Y234))</f>
        <v>0</v>
      </c>
      <c r="AC242" s="1"/>
      <c r="AD242" s="1"/>
      <c r="AE242" s="13"/>
    </row>
    <row r="243" spans="2:31" ht="15.75" hidden="1">
      <c r="B243" s="103"/>
      <c r="C243" s="251" t="s">
        <v>310</v>
      </c>
      <c r="D243" s="60"/>
      <c r="E243" s="251"/>
      <c r="F243" s="251"/>
      <c r="G243" s="251"/>
      <c r="H243" s="251"/>
      <c r="I243" s="251"/>
      <c r="J243" s="251"/>
      <c r="K243" s="251"/>
      <c r="L243" s="251"/>
      <c r="M243" s="251"/>
      <c r="N243" s="251"/>
      <c r="O243" s="251"/>
      <c r="P243" s="1"/>
      <c r="T243" s="14"/>
      <c r="U243" s="506" t="s">
        <v>84</v>
      </c>
      <c r="V243" s="506"/>
      <c r="W243" s="506"/>
      <c r="X243" s="506"/>
      <c r="Y243" s="506"/>
      <c r="Z243" s="1"/>
      <c r="AA243" s="14"/>
      <c r="AB243" s="248">
        <f>IF('Mon Entreprise'!K8&gt;=Annexes!O20,IF(AB233&gt;=AB235,AB233,AB235),IF(AB233&gt;=AB234,AB233,AB234))</f>
        <v>0</v>
      </c>
      <c r="AC243" s="1"/>
      <c r="AD243" s="1"/>
      <c r="AE243" s="13"/>
    </row>
    <row r="244" spans="2:31" ht="15.75" hidden="1">
      <c r="B244" s="168"/>
      <c r="C244" s="251"/>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251"/>
      <c r="F244" s="251"/>
      <c r="G244" s="251"/>
      <c r="H244" s="251"/>
      <c r="I244" s="251"/>
      <c r="J244" s="251"/>
      <c r="K244" s="251"/>
      <c r="L244" s="251"/>
      <c r="M244" s="251"/>
      <c r="N244" s="251"/>
      <c r="O244" s="251"/>
      <c r="P244" s="1"/>
      <c r="T244" s="14"/>
      <c r="U244" s="506" t="s">
        <v>85</v>
      </c>
      <c r="V244" s="506"/>
      <c r="W244" s="506"/>
      <c r="X244" s="506"/>
      <c r="Y244" s="506"/>
      <c r="Z244" s="1"/>
      <c r="AA244" s="14"/>
      <c r="AB244" s="19">
        <f>IF('Mon Entreprise'!K8&gt;=Annexes!O20,IF(AB233&gt;=AB235,AE233,AE235),IF(AB233&gt;=AB234,AE233,AE234))</f>
        <v>0</v>
      </c>
      <c r="AC244" s="1"/>
      <c r="AD244" s="1"/>
      <c r="AE244" s="13"/>
    </row>
    <row r="245" spans="2:31" ht="16.5" hidden="1" thickBot="1">
      <c r="B245" s="103"/>
      <c r="C245" s="251"/>
      <c r="D245" s="60"/>
      <c r="E245" s="251"/>
      <c r="F245" s="251"/>
      <c r="G245" s="251"/>
      <c r="H245" s="251"/>
      <c r="I245" s="251"/>
      <c r="J245" s="251"/>
      <c r="K245" s="251"/>
      <c r="L245" s="251"/>
      <c r="M245" s="251"/>
      <c r="N245" s="251"/>
      <c r="O245" s="251"/>
      <c r="P245" s="1"/>
      <c r="T245" s="14"/>
      <c r="U245" s="1"/>
      <c r="V245" s="1"/>
      <c r="W245" s="1"/>
      <c r="X245" s="1"/>
      <c r="Y245" s="1"/>
      <c r="Z245" s="1"/>
      <c r="AA245" s="1"/>
      <c r="AB245" s="1"/>
      <c r="AC245" s="1"/>
      <c r="AD245" s="1"/>
      <c r="AE245" s="13"/>
    </row>
    <row r="246" spans="2:31" ht="15.75" hidden="1">
      <c r="B246" s="168"/>
      <c r="C246" s="251"/>
      <c r="D246" s="508"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509"/>
      <c r="F246" s="509"/>
      <c r="G246" s="509"/>
      <c r="H246" s="509"/>
      <c r="I246" s="509"/>
      <c r="J246" s="509"/>
      <c r="K246" s="509"/>
      <c r="L246" s="509"/>
      <c r="M246" s="509"/>
      <c r="N246" s="509"/>
      <c r="O246" s="510"/>
      <c r="P246" s="1"/>
      <c r="T246" s="14"/>
      <c r="U246" s="1"/>
      <c r="V246" s="1"/>
      <c r="W246" s="1"/>
      <c r="X246" s="1"/>
      <c r="Y246" s="1"/>
      <c r="Z246" s="1"/>
      <c r="AA246" s="1"/>
      <c r="AB246" s="1"/>
      <c r="AC246" s="1"/>
      <c r="AD246" s="1"/>
      <c r="AE246" s="13"/>
    </row>
    <row r="247" spans="2:31" ht="15.75" hidden="1" customHeight="1">
      <c r="B247" s="168"/>
      <c r="C247" s="251"/>
      <c r="D247" s="511"/>
      <c r="E247" s="512"/>
      <c r="F247" s="512"/>
      <c r="G247" s="512"/>
      <c r="H247" s="512"/>
      <c r="I247" s="512"/>
      <c r="J247" s="512"/>
      <c r="K247" s="512"/>
      <c r="L247" s="512"/>
      <c r="M247" s="512"/>
      <c r="N247" s="512"/>
      <c r="O247" s="513"/>
      <c r="P247" s="1"/>
      <c r="T247" s="14"/>
      <c r="U247" s="1"/>
      <c r="V247" s="1"/>
      <c r="W247" s="1"/>
      <c r="X247" s="1"/>
      <c r="Y247" s="1"/>
      <c r="Z247" s="1"/>
      <c r="AA247" s="1"/>
      <c r="AB247" s="1"/>
      <c r="AC247" s="1"/>
      <c r="AD247" s="1"/>
      <c r="AE247" s="13"/>
    </row>
    <row r="248" spans="2:31" ht="15.75" hidden="1" customHeight="1">
      <c r="B248" s="103"/>
      <c r="C248" s="251"/>
      <c r="D248" s="511"/>
      <c r="E248" s="512"/>
      <c r="F248" s="512"/>
      <c r="G248" s="512"/>
      <c r="H248" s="512"/>
      <c r="I248" s="512"/>
      <c r="J248" s="512"/>
      <c r="K248" s="512"/>
      <c r="L248" s="512"/>
      <c r="M248" s="512"/>
      <c r="N248" s="512"/>
      <c r="O248" s="513"/>
      <c r="P248" s="1"/>
      <c r="T248" s="14"/>
      <c r="U248" s="1"/>
      <c r="V248" s="1"/>
      <c r="W248" s="1"/>
      <c r="X248" s="1"/>
      <c r="Y248" s="1"/>
      <c r="Z248" s="1"/>
      <c r="AA248" s="1"/>
      <c r="AB248" s="1"/>
      <c r="AC248" s="1"/>
      <c r="AD248" s="1"/>
      <c r="AE248" s="13"/>
    </row>
    <row r="249" spans="2:31" ht="15.75" hidden="1" customHeight="1" thickBot="1">
      <c r="B249" s="103"/>
      <c r="C249" s="251"/>
      <c r="D249" s="514"/>
      <c r="E249" s="515"/>
      <c r="F249" s="515"/>
      <c r="G249" s="515"/>
      <c r="H249" s="515"/>
      <c r="I249" s="515"/>
      <c r="J249" s="515"/>
      <c r="K249" s="515"/>
      <c r="L249" s="515"/>
      <c r="M249" s="515"/>
      <c r="N249" s="515"/>
      <c r="O249" s="516"/>
      <c r="P249" s="1"/>
      <c r="T249" s="14"/>
      <c r="U249" s="1"/>
      <c r="V249" s="1"/>
      <c r="W249" s="1"/>
      <c r="X249" s="1"/>
      <c r="Y249" s="1"/>
      <c r="Z249" s="1"/>
      <c r="AA249" s="1"/>
      <c r="AB249" s="1"/>
      <c r="AC249" s="1"/>
      <c r="AD249" s="1"/>
      <c r="AE249" s="13"/>
    </row>
    <row r="250" spans="2:31" ht="16.5" hidden="1" customHeight="1">
      <c r="B250" s="103"/>
      <c r="C250" s="169"/>
      <c r="D250" s="517" t="s">
        <v>395</v>
      </c>
      <c r="E250" s="517"/>
      <c r="F250" s="517"/>
      <c r="G250" s="517"/>
      <c r="H250" s="517"/>
      <c r="I250" s="517"/>
      <c r="J250" s="517"/>
      <c r="K250" s="517"/>
      <c r="L250" s="517"/>
      <c r="M250" s="517"/>
      <c r="N250" s="517"/>
      <c r="O250" s="517"/>
      <c r="P250" s="1"/>
      <c r="T250" s="518" t="s">
        <v>4</v>
      </c>
      <c r="U250" s="519"/>
      <c r="V250" s="519"/>
      <c r="W250" s="519"/>
      <c r="X250" s="519"/>
      <c r="Y250" s="519"/>
      <c r="Z250" s="139"/>
      <c r="AA250" s="145"/>
      <c r="AB250" s="194">
        <f>IFERROR(IF('Mon Entreprise'!K8&gt;=Annexes!Q18,0,1-'Mon Entreprise'!M118/2/AB242),0)</f>
        <v>0</v>
      </c>
      <c r="AC250" s="1"/>
      <c r="AD250" s="1"/>
      <c r="AE250" s="13"/>
    </row>
    <row r="251" spans="2:31" ht="16.5" hidden="1" customHeight="1">
      <c r="B251" s="103"/>
      <c r="C251" s="251"/>
      <c r="D251" s="249"/>
      <c r="E251" s="249"/>
      <c r="F251" s="249"/>
      <c r="G251" s="249"/>
      <c r="H251" s="249"/>
      <c r="I251" s="249"/>
      <c r="J251" s="249"/>
      <c r="K251" s="249"/>
      <c r="L251" s="249"/>
      <c r="M251" s="249"/>
      <c r="N251" s="249"/>
      <c r="O251" s="249"/>
      <c r="P251" s="1"/>
      <c r="T251" s="110"/>
      <c r="U251" s="520" t="s">
        <v>102</v>
      </c>
      <c r="V251" s="520"/>
      <c r="W251" s="520"/>
      <c r="X251" s="520"/>
      <c r="Y251" s="520"/>
      <c r="Z251" s="139"/>
      <c r="AA251" s="145"/>
      <c r="AB251" s="194">
        <f>IFERROR(IF('Mon Entreprise'!K8&gt;Annexes!Q26,0,1-'Mon Entreprise'!M114/AB242),0)</f>
        <v>0</v>
      </c>
      <c r="AC251" s="1"/>
      <c r="AD251" s="1"/>
      <c r="AE251" s="13"/>
    </row>
    <row r="252" spans="2:31" ht="16.5" hidden="1" customHeight="1">
      <c r="B252" s="103"/>
      <c r="C252" s="505" t="s">
        <v>421</v>
      </c>
      <c r="D252" s="505"/>
      <c r="E252" s="505"/>
      <c r="F252" s="505"/>
      <c r="G252" s="505"/>
      <c r="H252" s="505"/>
      <c r="I252" s="505"/>
      <c r="J252" s="505"/>
      <c r="K252" s="505"/>
      <c r="L252" s="505"/>
      <c r="M252" s="505"/>
      <c r="N252" s="505"/>
      <c r="O252" s="505"/>
      <c r="P252" s="1"/>
      <c r="T252" s="110"/>
      <c r="U252" s="520" t="s">
        <v>109</v>
      </c>
      <c r="V252" s="520"/>
      <c r="W252" s="520"/>
      <c r="X252" s="520"/>
      <c r="Y252" s="520"/>
      <c r="Z252" s="139"/>
      <c r="AA252" s="145"/>
      <c r="AB252" s="194">
        <f>IFERROR(IF(Annexes!O27&gt;'Mon Entreprise'!K8,1-'Mon Entreprise'!M98/'Mon Entreprise'!I98,0),0)</f>
        <v>0</v>
      </c>
      <c r="AC252" s="1"/>
      <c r="AD252" s="1"/>
      <c r="AE252" s="13"/>
    </row>
    <row r="253" spans="2:31" ht="16.5" hidden="1" customHeight="1">
      <c r="B253" s="103"/>
      <c r="C253" s="505"/>
      <c r="D253" s="505"/>
      <c r="E253" s="505"/>
      <c r="F253" s="505"/>
      <c r="G253" s="505"/>
      <c r="H253" s="505"/>
      <c r="I253" s="505"/>
      <c r="J253" s="505"/>
      <c r="K253" s="505"/>
      <c r="L253" s="505"/>
      <c r="M253" s="505"/>
      <c r="N253" s="505"/>
      <c r="O253" s="505"/>
      <c r="P253" s="1"/>
      <c r="T253" s="110"/>
      <c r="U253" s="267"/>
      <c r="V253" s="267"/>
      <c r="W253" s="267"/>
      <c r="X253" s="267"/>
      <c r="Y253" s="267"/>
      <c r="Z253" s="139"/>
      <c r="AA253" s="145"/>
      <c r="AB253" s="194"/>
      <c r="AC253" s="1"/>
      <c r="AD253" s="1"/>
      <c r="AE253" s="13"/>
    </row>
    <row r="254" spans="2:31" ht="16.5" hidden="1" customHeight="1">
      <c r="B254" s="103"/>
      <c r="C254" s="505"/>
      <c r="D254" s="505"/>
      <c r="E254" s="505"/>
      <c r="F254" s="505"/>
      <c r="G254" s="505"/>
      <c r="H254" s="505"/>
      <c r="I254" s="505"/>
      <c r="J254" s="505"/>
      <c r="K254" s="505"/>
      <c r="L254" s="505"/>
      <c r="M254" s="505"/>
      <c r="N254" s="505"/>
      <c r="O254" s="505"/>
      <c r="P254" s="1"/>
      <c r="T254" s="14"/>
      <c r="U254" s="521" t="s">
        <v>8</v>
      </c>
      <c r="V254" s="521"/>
      <c r="W254" s="521"/>
      <c r="X254" s="521"/>
      <c r="Y254" s="521"/>
      <c r="Z254" s="1"/>
      <c r="AA254" s="14"/>
      <c r="AB254" s="248" t="str">
        <f>IF((AND(Annexes!F5&gt;1,Annexes!F5&lt;=Annexes!H6)),"OUI","NON")</f>
        <v>NON</v>
      </c>
      <c r="AC254" s="1"/>
      <c r="AD254" s="1"/>
      <c r="AE254" s="13"/>
    </row>
    <row r="255" spans="2:31" ht="16.5" hidden="1" customHeight="1">
      <c r="B255" s="103"/>
      <c r="C255" s="505"/>
      <c r="D255" s="505"/>
      <c r="E255" s="505"/>
      <c r="F255" s="505"/>
      <c r="G255" s="505"/>
      <c r="H255" s="505"/>
      <c r="I255" s="505"/>
      <c r="J255" s="505"/>
      <c r="K255" s="505"/>
      <c r="L255" s="505"/>
      <c r="M255" s="505"/>
      <c r="N255" s="505"/>
      <c r="O255" s="505"/>
      <c r="P255" s="1"/>
      <c r="T255" s="14"/>
      <c r="U255" s="252"/>
      <c r="V255" s="252"/>
      <c r="W255" s="252"/>
      <c r="X255" s="252"/>
      <c r="Y255" s="252" t="s">
        <v>9</v>
      </c>
      <c r="Z255" s="1"/>
      <c r="AA255" s="14"/>
      <c r="AB255" s="248" t="str">
        <f>IF(AND(Annexes!F7&gt;1,Annexes!F7&lt;=Annexes!H8),"OUI","NON")</f>
        <v>NON</v>
      </c>
      <c r="AC255" s="1"/>
      <c r="AD255" s="1"/>
      <c r="AE255" s="13"/>
    </row>
    <row r="256" spans="2:31" ht="16.5" hidden="1" customHeight="1">
      <c r="B256" s="103"/>
      <c r="C256" s="251"/>
      <c r="D256" s="249"/>
      <c r="E256" s="417"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417"/>
      <c r="G256" s="417"/>
      <c r="H256" s="417"/>
      <c r="I256" s="417"/>
      <c r="J256" s="417"/>
      <c r="K256" s="417"/>
      <c r="L256" s="417"/>
      <c r="M256" s="417"/>
      <c r="N256" s="417"/>
      <c r="O256" s="417"/>
      <c r="P256" s="1"/>
      <c r="T256" s="491" t="s">
        <v>415</v>
      </c>
      <c r="U256" s="490"/>
      <c r="V256" s="490"/>
      <c r="W256" s="490"/>
      <c r="X256" s="490"/>
      <c r="Y256" s="490"/>
      <c r="Z256" s="1"/>
      <c r="AA256" s="14"/>
      <c r="AB256" s="248" t="str">
        <f>IF(OR(Annexes!M17=TRUE,Annexes!M23=TRUE),"OUI","NON")</f>
        <v>NON</v>
      </c>
      <c r="AC256" s="1"/>
      <c r="AD256" s="1"/>
      <c r="AE256" s="13"/>
    </row>
    <row r="257" spans="1:31" ht="16.5" hidden="1" customHeight="1">
      <c r="B257" s="103"/>
      <c r="C257" s="264"/>
      <c r="D257" s="263"/>
      <c r="E257" s="417"/>
      <c r="F257" s="417"/>
      <c r="G257" s="417"/>
      <c r="H257" s="417"/>
      <c r="I257" s="417"/>
      <c r="J257" s="417"/>
      <c r="K257" s="417"/>
      <c r="L257" s="417"/>
      <c r="M257" s="417"/>
      <c r="N257" s="417"/>
      <c r="O257" s="417"/>
      <c r="P257" s="1"/>
      <c r="T257" s="290"/>
      <c r="U257" s="490" t="s">
        <v>305</v>
      </c>
      <c r="V257" s="490"/>
      <c r="W257" s="490"/>
      <c r="X257" s="490"/>
      <c r="Y257" s="490"/>
      <c r="Z257" s="1"/>
      <c r="AA257" s="14"/>
      <c r="AB257" s="291" t="str">
        <f>IF(OR(Annexes!M17=TRUE,Annexes!M23=TRUE),"OUI","NON")</f>
        <v>NON</v>
      </c>
      <c r="AC257" s="1"/>
      <c r="AD257" s="1"/>
      <c r="AE257" s="13"/>
    </row>
    <row r="258" spans="1:31" ht="16.5" hidden="1" customHeight="1">
      <c r="B258" s="168"/>
      <c r="C258" s="251"/>
      <c r="D258" s="249"/>
      <c r="E258" s="417"/>
      <c r="F258" s="417"/>
      <c r="G258" s="417"/>
      <c r="H258" s="417"/>
      <c r="I258" s="417"/>
      <c r="J258" s="417"/>
      <c r="K258" s="417"/>
      <c r="L258" s="417"/>
      <c r="M258" s="417"/>
      <c r="N258" s="417"/>
      <c r="O258" s="417"/>
      <c r="P258" s="1"/>
      <c r="T258" s="14"/>
      <c r="U258" s="490" t="s">
        <v>313</v>
      </c>
      <c r="V258" s="490"/>
      <c r="W258" s="490"/>
      <c r="X258" s="490"/>
      <c r="Y258" s="490"/>
      <c r="Z258" s="1"/>
      <c r="AA258" s="14"/>
      <c r="AB258" s="248" t="b">
        <f>IF(Annexes!M21=TRUE,TRUE,FALSE)</f>
        <v>0</v>
      </c>
      <c r="AC258" s="1"/>
      <c r="AD258" s="1"/>
      <c r="AE258" s="13"/>
    </row>
    <row r="259" spans="1:31" ht="16.5" hidden="1" customHeight="1">
      <c r="A259" s="99"/>
      <c r="B259" s="103"/>
      <c r="C259" s="251"/>
      <c r="D259" s="523"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523"/>
      <c r="F259" s="523"/>
      <c r="G259" s="523"/>
      <c r="H259" s="523"/>
      <c r="I259" s="523"/>
      <c r="J259" s="523"/>
      <c r="K259" s="523"/>
      <c r="L259" s="523"/>
      <c r="M259" s="523"/>
      <c r="N259" s="523"/>
      <c r="O259" s="523"/>
      <c r="P259" s="1"/>
      <c r="T259" s="14"/>
      <c r="U259" s="525" t="s">
        <v>72</v>
      </c>
      <c r="V259" s="525"/>
      <c r="W259" s="525"/>
      <c r="X259" s="525"/>
      <c r="Y259" s="525"/>
      <c r="Z259" s="139"/>
      <c r="AA259" s="145"/>
      <c r="AB259" s="250" t="str">
        <f>IF('Mon Entreprise'!K8&lt;=Annexes!Q26,"Oui","Non")</f>
        <v>Oui</v>
      </c>
      <c r="AC259" s="139"/>
      <c r="AD259" s="1"/>
      <c r="AE259" s="13"/>
    </row>
    <row r="260" spans="1:31" ht="16.5" hidden="1" customHeight="1">
      <c r="B260" s="103"/>
      <c r="C260" s="251"/>
      <c r="D260" s="215" t="str">
        <f>IF(OR(AB254="OUI",AB258=TRUE),"- Sans ticket modérateur",IF(AND(OR(AB256="OUI",AB255="OUI"),OR(AB250&gt;=0.8,AB251&gt;=0.8,AB252&gt;=0.1)),"- La Perte de référence est plafonnée à 80 %, soit "&amp;ROUND(AB264,0)&amp;" €","- Sans ticket modérateur"))</f>
        <v>- Sans ticket modérateur</v>
      </c>
      <c r="E260" s="247"/>
      <c r="F260" s="247"/>
      <c r="G260" s="247"/>
      <c r="H260" s="247"/>
      <c r="I260" s="247"/>
      <c r="J260" s="247"/>
      <c r="K260" s="247"/>
      <c r="L260" s="247"/>
      <c r="M260" s="247"/>
      <c r="N260" s="247"/>
      <c r="O260" s="247"/>
      <c r="P260" s="1"/>
      <c r="T260" s="14"/>
      <c r="U260" s="525" t="s">
        <v>84</v>
      </c>
      <c r="V260" s="525"/>
      <c r="W260" s="525"/>
      <c r="X260" s="525"/>
      <c r="Y260" s="525"/>
      <c r="Z260" s="139"/>
      <c r="AA260" s="145"/>
      <c r="AB260" s="250">
        <f>IF('Mon Entreprise'!K8&gt;=Annexes!O20,IF(AB233&gt;=AB235,AB233,AB235),IF(AB233&gt;=AB234,AB233,AB234))</f>
        <v>0</v>
      </c>
      <c r="AC260" s="139"/>
      <c r="AD260" s="1"/>
      <c r="AE260" s="13"/>
    </row>
    <row r="261" spans="1:31" ht="16.5" hidden="1" customHeight="1" thickBot="1">
      <c r="B261" s="103"/>
      <c r="C261" s="251"/>
      <c r="D261" s="247"/>
      <c r="E261" s="247"/>
      <c r="F261" s="247"/>
      <c r="G261" s="247"/>
      <c r="H261" s="247"/>
      <c r="I261" s="247"/>
      <c r="J261" s="247"/>
      <c r="K261" s="247"/>
      <c r="L261" s="247"/>
      <c r="M261" s="247"/>
      <c r="N261" s="247"/>
      <c r="O261" s="247"/>
      <c r="P261" s="1"/>
      <c r="T261" s="14"/>
      <c r="U261" s="525" t="s">
        <v>85</v>
      </c>
      <c r="V261" s="525"/>
      <c r="W261" s="525"/>
      <c r="X261" s="525"/>
      <c r="Y261" s="525"/>
      <c r="Z261" s="139"/>
      <c r="AA261" s="145"/>
      <c r="AB261" s="250">
        <f>IF('Mon Entreprise'!K8&gt;=Annexes!O20,IF(AB233&gt;=AB235,AE233,AE235),IF(AB233&gt;=AB234,AE233,AE234))</f>
        <v>0</v>
      </c>
      <c r="AC261" s="139"/>
      <c r="AD261" s="1"/>
      <c r="AE261" s="13"/>
    </row>
    <row r="262" spans="1:31" ht="16.5" hidden="1" customHeight="1">
      <c r="B262" s="103"/>
      <c r="C262" s="251"/>
      <c r="D262" s="508"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509"/>
      <c r="F262" s="509"/>
      <c r="G262" s="509"/>
      <c r="H262" s="509"/>
      <c r="I262" s="509"/>
      <c r="J262" s="509"/>
      <c r="K262" s="509"/>
      <c r="L262" s="509"/>
      <c r="M262" s="509"/>
      <c r="N262" s="509"/>
      <c r="O262" s="510"/>
      <c r="P262" s="1"/>
      <c r="T262" s="14"/>
      <c r="U262" s="502" t="s">
        <v>74</v>
      </c>
      <c r="V262" s="502"/>
      <c r="W262" s="502"/>
      <c r="X262" s="502"/>
      <c r="Y262" s="502"/>
      <c r="Z262" s="139"/>
      <c r="AA262" s="145"/>
      <c r="AB262" s="250">
        <f>IF(OR(AB254="OUI",AB258=TRUE),1,IF(AND(OR(AB256="OUI",AB255="OUI"),OR(AB250&gt;=0.8,AB251&gt;=0.8,AB252&gt;=0.1)),0.8,1))</f>
        <v>1</v>
      </c>
      <c r="AC262" s="139"/>
      <c r="AD262" s="1"/>
      <c r="AE262" s="13"/>
    </row>
    <row r="263" spans="1:31" ht="16.5" hidden="1" customHeight="1">
      <c r="B263" s="173"/>
      <c r="C263" s="251"/>
      <c r="D263" s="511"/>
      <c r="E263" s="512"/>
      <c r="F263" s="512"/>
      <c r="G263" s="512"/>
      <c r="H263" s="512"/>
      <c r="I263" s="512"/>
      <c r="J263" s="512"/>
      <c r="K263" s="512"/>
      <c r="L263" s="512"/>
      <c r="M263" s="512"/>
      <c r="N263" s="512"/>
      <c r="O263" s="513"/>
      <c r="P263" s="1"/>
      <c r="T263" s="14"/>
      <c r="U263" s="502" t="s">
        <v>80</v>
      </c>
      <c r="V263" s="502"/>
      <c r="W263" s="502"/>
      <c r="X263" s="502"/>
      <c r="Y263" s="502"/>
      <c r="Z263" s="139"/>
      <c r="AA263" s="145"/>
      <c r="AB263" s="250">
        <f>IF('Mon Entreprise'!K8&gt;=Annexes!O20,IF(AB233&gt;=AB235,Y233,Y235),IF(AB233&gt;=AB234,Y233,Y234))</f>
        <v>0</v>
      </c>
      <c r="AC263" s="139"/>
      <c r="AD263" s="1"/>
      <c r="AE263" s="13"/>
    </row>
    <row r="264" spans="1:31" ht="16.5" hidden="1" customHeight="1">
      <c r="B264" s="103"/>
      <c r="C264" s="251"/>
      <c r="D264" s="511"/>
      <c r="E264" s="512"/>
      <c r="F264" s="512"/>
      <c r="G264" s="512"/>
      <c r="H264" s="512"/>
      <c r="I264" s="512"/>
      <c r="J264" s="512"/>
      <c r="K264" s="512"/>
      <c r="L264" s="512"/>
      <c r="M264" s="512"/>
      <c r="N264" s="512"/>
      <c r="O264" s="513"/>
      <c r="P264" s="1"/>
      <c r="T264" s="14"/>
      <c r="U264" s="490" t="s">
        <v>104</v>
      </c>
      <c r="V264" s="490"/>
      <c r="W264" s="490"/>
      <c r="X264" s="490"/>
      <c r="Y264" s="490"/>
      <c r="Z264" s="1"/>
      <c r="AA264" s="14"/>
      <c r="AB264" s="248">
        <f>IF(AB262=1,AB260,IF(AB260*AB262&gt;1500,IF(AB260&gt;1500,AB260*AB262,"Impossible"),IF(AB260&lt;1500,AB260,1500)))</f>
        <v>0</v>
      </c>
      <c r="AC264" s="1"/>
      <c r="AD264" s="1"/>
      <c r="AE264" s="13"/>
    </row>
    <row r="265" spans="1:31" ht="16.5" hidden="1" customHeight="1" thickBot="1">
      <c r="B265" s="103"/>
      <c r="C265" s="251"/>
      <c r="D265" s="514"/>
      <c r="E265" s="515"/>
      <c r="F265" s="515"/>
      <c r="G265" s="515"/>
      <c r="H265" s="515"/>
      <c r="I265" s="515"/>
      <c r="J265" s="515"/>
      <c r="K265" s="515"/>
      <c r="L265" s="515"/>
      <c r="M265" s="515"/>
      <c r="N265" s="515"/>
      <c r="O265" s="516"/>
      <c r="P265" s="1"/>
      <c r="T265" s="14"/>
      <c r="U265" s="248"/>
      <c r="V265" s="248"/>
      <c r="W265" s="248"/>
      <c r="X265" s="248"/>
      <c r="Y265" s="248"/>
      <c r="Z265" s="1"/>
      <c r="AA265" s="1"/>
      <c r="AB265" s="1"/>
      <c r="AC265" s="1"/>
      <c r="AD265" s="1"/>
      <c r="AE265" s="13"/>
    </row>
    <row r="266" spans="1:31" ht="16.5" hidden="1" customHeight="1">
      <c r="B266" s="103"/>
      <c r="C266" s="169"/>
      <c r="D266" s="174"/>
      <c r="E266" s="174"/>
      <c r="F266" s="174"/>
      <c r="G266" s="174"/>
      <c r="H266" s="174"/>
      <c r="I266" s="174"/>
      <c r="J266" s="174"/>
      <c r="K266" s="174"/>
      <c r="L266" s="174"/>
      <c r="M266" s="174"/>
      <c r="N266" s="174"/>
      <c r="O266" s="174"/>
      <c r="P266" s="1"/>
      <c r="T266" s="14"/>
      <c r="U266" s="490"/>
      <c r="V266" s="490"/>
      <c r="W266" s="490"/>
      <c r="X266" s="490"/>
      <c r="Y266" s="490"/>
      <c r="Z266" s="1"/>
      <c r="AA266" s="1"/>
      <c r="AB266" s="1"/>
      <c r="AC266" s="1"/>
      <c r="AD266" s="1"/>
      <c r="AE266" s="13"/>
    </row>
    <row r="267" spans="1:31" ht="16.5" hidden="1" customHeight="1">
      <c r="B267" s="103"/>
      <c r="C267" s="251"/>
      <c r="D267" s="247"/>
      <c r="E267" s="247"/>
      <c r="F267" s="247"/>
      <c r="G267" s="247"/>
      <c r="H267" s="247"/>
      <c r="I267" s="247"/>
      <c r="J267" s="247"/>
      <c r="K267" s="247"/>
      <c r="L267" s="247"/>
      <c r="M267" s="247"/>
      <c r="N267" s="247"/>
      <c r="O267" s="247"/>
      <c r="P267" s="1"/>
      <c r="T267" s="14"/>
      <c r="U267" s="248"/>
      <c r="V267" s="248"/>
      <c r="W267" s="248"/>
      <c r="X267" s="248"/>
      <c r="Y267" s="248"/>
      <c r="Z267" s="1"/>
      <c r="AA267" s="1"/>
      <c r="AB267" s="1"/>
      <c r="AC267" s="1"/>
      <c r="AD267" s="1"/>
      <c r="AE267" s="13"/>
    </row>
    <row r="268" spans="1:31" ht="16.5" hidden="1" customHeight="1">
      <c r="B268" s="103"/>
      <c r="C268" s="529" t="s">
        <v>420</v>
      </c>
      <c r="D268" s="529"/>
      <c r="E268" s="529"/>
      <c r="F268" s="529"/>
      <c r="G268" s="529"/>
      <c r="H268" s="529"/>
      <c r="I268" s="529"/>
      <c r="J268" s="529"/>
      <c r="K268" s="529"/>
      <c r="L268" s="529"/>
      <c r="M268" s="529"/>
      <c r="N268" s="529"/>
      <c r="O268" s="529"/>
      <c r="P268" s="1"/>
      <c r="T268" s="14"/>
      <c r="U268" s="1"/>
      <c r="V268" s="1"/>
      <c r="W268" s="1"/>
      <c r="X268" s="1"/>
      <c r="Y268" s="1"/>
      <c r="Z268" s="1"/>
      <c r="AA268" s="1"/>
      <c r="AB268" s="1"/>
      <c r="AC268" s="1"/>
      <c r="AD268" s="1"/>
      <c r="AE268" s="13"/>
    </row>
    <row r="269" spans="1:31" ht="16.5" hidden="1" customHeight="1">
      <c r="B269" s="103"/>
      <c r="C269" s="529"/>
      <c r="D269" s="529"/>
      <c r="E269" s="529"/>
      <c r="F269" s="529"/>
      <c r="G269" s="529"/>
      <c r="H269" s="529"/>
      <c r="I269" s="529"/>
      <c r="J269" s="529"/>
      <c r="K269" s="529"/>
      <c r="L269" s="529"/>
      <c r="M269" s="529"/>
      <c r="N269" s="529"/>
      <c r="O269" s="529"/>
      <c r="P269" s="1"/>
      <c r="T269" s="14"/>
      <c r="U269" s="1"/>
      <c r="V269" s="1"/>
      <c r="W269" s="1"/>
      <c r="X269" s="1"/>
      <c r="Y269" s="1"/>
      <c r="Z269" s="1"/>
      <c r="AA269" s="1"/>
      <c r="AB269" s="1"/>
      <c r="AC269" s="1"/>
      <c r="AD269" s="1"/>
      <c r="AE269" s="13"/>
    </row>
    <row r="270" spans="1:31" ht="16.5" hidden="1" customHeight="1">
      <c r="B270" s="103"/>
      <c r="C270" s="529"/>
      <c r="D270" s="529"/>
      <c r="E270" s="529"/>
      <c r="F270" s="529"/>
      <c r="G270" s="529"/>
      <c r="H270" s="529"/>
      <c r="I270" s="529"/>
      <c r="J270" s="529"/>
      <c r="K270" s="529"/>
      <c r="L270" s="529"/>
      <c r="M270" s="529"/>
      <c r="N270" s="529"/>
      <c r="O270" s="529"/>
      <c r="P270" s="1"/>
      <c r="T270" s="14"/>
      <c r="U270" s="1"/>
      <c r="V270" s="1"/>
      <c r="W270" s="1"/>
      <c r="X270" s="1"/>
      <c r="Y270" s="1"/>
      <c r="Z270" s="1"/>
      <c r="AA270" s="1"/>
      <c r="AB270" s="1"/>
      <c r="AC270" s="1"/>
      <c r="AD270" s="1"/>
      <c r="AE270" s="13"/>
    </row>
    <row r="271" spans="1:31" ht="16.5" hidden="1" customHeight="1">
      <c r="B271" s="173"/>
      <c r="C271" s="529"/>
      <c r="D271" s="529"/>
      <c r="E271" s="529"/>
      <c r="F271" s="529"/>
      <c r="G271" s="529"/>
      <c r="H271" s="529"/>
      <c r="I271" s="529"/>
      <c r="J271" s="529"/>
      <c r="K271" s="529"/>
      <c r="L271" s="529"/>
      <c r="M271" s="529"/>
      <c r="N271" s="529"/>
      <c r="O271" s="529"/>
      <c r="P271" s="1"/>
      <c r="T271" s="14"/>
      <c r="U271" s="502" t="s">
        <v>82</v>
      </c>
      <c r="V271" s="502"/>
      <c r="W271" s="502"/>
      <c r="X271" s="502"/>
      <c r="Y271" s="502"/>
      <c r="Z271" s="68"/>
      <c r="AA271" s="1"/>
      <c r="AB271" s="1">
        <f>IFERROR(IF(AB241="Non",0,IF(AB244&gt;=0.5,IF(AB243&gt;Annexes!O5,Annexes!O5,ROUND(AB243,0)),0)),0)</f>
        <v>0</v>
      </c>
      <c r="AC271" s="1"/>
      <c r="AD271" s="1"/>
      <c r="AE271" s="13"/>
    </row>
    <row r="272" spans="1:31" ht="16.5" hidden="1" customHeight="1">
      <c r="B272" s="173"/>
      <c r="C272" s="251"/>
      <c r="D272" s="249"/>
      <c r="E272" s="523"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523"/>
      <c r="G272" s="523"/>
      <c r="H272" s="523"/>
      <c r="I272" s="523"/>
      <c r="J272" s="523"/>
      <c r="K272" s="523"/>
      <c r="L272" s="523"/>
      <c r="M272" s="523"/>
      <c r="N272" s="523"/>
      <c r="O272" s="523"/>
      <c r="P272" s="1"/>
      <c r="T272" s="14"/>
      <c r="U272" s="502" t="s">
        <v>81</v>
      </c>
      <c r="V272" s="502"/>
      <c r="W272" s="502"/>
      <c r="X272" s="502"/>
      <c r="Y272" s="502"/>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hidden="1" customHeight="1">
      <c r="B273" s="173"/>
      <c r="C273" s="266"/>
      <c r="D273" s="265"/>
      <c r="E273" s="523"/>
      <c r="F273" s="523"/>
      <c r="G273" s="523"/>
      <c r="H273" s="523"/>
      <c r="I273" s="523"/>
      <c r="J273" s="523"/>
      <c r="K273" s="523"/>
      <c r="L273" s="523"/>
      <c r="M273" s="523"/>
      <c r="N273" s="523"/>
      <c r="O273" s="523"/>
      <c r="P273" s="1"/>
      <c r="T273" s="14"/>
      <c r="U273" s="502" t="s">
        <v>399</v>
      </c>
      <c r="V273" s="502"/>
      <c r="W273" s="502"/>
      <c r="X273" s="502"/>
      <c r="Y273" s="502"/>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hidden="1" customHeight="1">
      <c r="B274" s="173"/>
      <c r="C274" s="251"/>
      <c r="D274" s="249"/>
      <c r="E274" s="523"/>
      <c r="F274" s="523"/>
      <c r="G274" s="523"/>
      <c r="H274" s="523"/>
      <c r="I274" s="523"/>
      <c r="J274" s="523"/>
      <c r="K274" s="523"/>
      <c r="L274" s="523"/>
      <c r="M274" s="523"/>
      <c r="N274" s="523"/>
      <c r="O274" s="523"/>
      <c r="P274" s="1"/>
      <c r="T274" s="14"/>
      <c r="U274" s="1"/>
      <c r="V274" s="1"/>
      <c r="W274" s="1"/>
      <c r="X274" s="1"/>
      <c r="Y274" s="1"/>
      <c r="Z274" s="1"/>
      <c r="AA274" s="1"/>
      <c r="AB274" s="1"/>
      <c r="AC274" s="1"/>
      <c r="AD274" s="1"/>
      <c r="AE274" s="13"/>
    </row>
    <row r="275" spans="2:31" ht="16.5" hidden="1" customHeight="1">
      <c r="B275" s="173"/>
      <c r="C275" s="251"/>
      <c r="D275" s="417"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417"/>
      <c r="F275" s="417"/>
      <c r="G275" s="417"/>
      <c r="H275" s="417"/>
      <c r="I275" s="417"/>
      <c r="J275" s="417"/>
      <c r="K275" s="417"/>
      <c r="L275" s="417"/>
      <c r="M275" s="417"/>
      <c r="N275" s="417"/>
      <c r="O275" s="417"/>
      <c r="P275" s="247"/>
      <c r="Q275" s="247"/>
      <c r="T275" s="14"/>
      <c r="U275" s="1"/>
      <c r="V275" s="1"/>
      <c r="W275" s="1"/>
      <c r="X275" s="1"/>
      <c r="Y275" s="1"/>
      <c r="Z275" s="1"/>
      <c r="AA275" s="1"/>
      <c r="AB275" s="1"/>
      <c r="AC275" s="1"/>
      <c r="AD275" s="1"/>
      <c r="AE275" s="13"/>
    </row>
    <row r="276" spans="2:31" ht="16.5" hidden="1" customHeight="1">
      <c r="B276" s="103"/>
      <c r="C276" s="251"/>
      <c r="D276" s="523"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523"/>
      <c r="F276" s="523"/>
      <c r="G276" s="523"/>
      <c r="H276" s="523"/>
      <c r="I276" s="523"/>
      <c r="J276" s="523"/>
      <c r="K276" s="523"/>
      <c r="L276" s="523"/>
      <c r="M276" s="523"/>
      <c r="N276" s="523"/>
      <c r="O276" s="523"/>
      <c r="P276" s="247"/>
      <c r="Q276" s="247"/>
      <c r="T276" s="14"/>
      <c r="U276" s="1"/>
      <c r="V276" s="1"/>
      <c r="W276" s="1"/>
      <c r="X276" s="1"/>
      <c r="Y276" s="1"/>
      <c r="Z276" s="1"/>
      <c r="AA276" s="1"/>
      <c r="AB276" s="1"/>
      <c r="AC276" s="1"/>
      <c r="AD276" s="1"/>
      <c r="AE276" s="13"/>
    </row>
    <row r="277" spans="2:31" ht="16.5" hidden="1" customHeight="1">
      <c r="B277" s="168"/>
      <c r="C277" s="251"/>
      <c r="D277" s="523"/>
      <c r="E277" s="523"/>
      <c r="F277" s="523"/>
      <c r="G277" s="523"/>
      <c r="H277" s="523"/>
      <c r="I277" s="523"/>
      <c r="J277" s="523"/>
      <c r="K277" s="523"/>
      <c r="L277" s="523"/>
      <c r="M277" s="523"/>
      <c r="N277" s="523"/>
      <c r="O277" s="523"/>
      <c r="P277" s="247"/>
      <c r="Q277" s="247"/>
      <c r="T277" s="14"/>
      <c r="U277" s="1"/>
      <c r="V277" s="1"/>
      <c r="W277" s="1"/>
      <c r="X277" s="1"/>
      <c r="Y277" s="1"/>
      <c r="Z277" s="1"/>
      <c r="AA277" s="1"/>
      <c r="AB277" s="1"/>
      <c r="AC277" s="1"/>
      <c r="AD277" s="1"/>
      <c r="AE277" s="13"/>
    </row>
    <row r="278" spans="2:31" ht="16.5" hidden="1" customHeight="1" thickBot="1">
      <c r="B278" s="168"/>
      <c r="C278" s="251"/>
      <c r="D278" s="205"/>
      <c r="E278" s="247"/>
      <c r="F278" s="247"/>
      <c r="G278" s="247"/>
      <c r="H278" s="247"/>
      <c r="I278" s="247"/>
      <c r="J278" s="247"/>
      <c r="K278" s="247"/>
      <c r="L278" s="247"/>
      <c r="M278" s="247"/>
      <c r="N278" s="247"/>
      <c r="O278" s="247"/>
      <c r="P278" s="247"/>
      <c r="Q278" s="247"/>
      <c r="T278" s="14"/>
      <c r="U278" s="1"/>
      <c r="V278" s="1"/>
      <c r="W278" s="1"/>
      <c r="X278" s="1"/>
      <c r="Y278" s="1"/>
      <c r="Z278" s="1"/>
      <c r="AA278" s="1"/>
      <c r="AB278" s="1"/>
      <c r="AC278" s="1"/>
      <c r="AD278" s="1"/>
      <c r="AE278" s="13"/>
    </row>
    <row r="279" spans="2:31" ht="16.5" hidden="1" customHeight="1">
      <c r="B279" s="103"/>
      <c r="C279" s="180"/>
      <c r="D279" s="526"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509"/>
      <c r="F279" s="509"/>
      <c r="G279" s="509"/>
      <c r="H279" s="509"/>
      <c r="I279" s="509"/>
      <c r="J279" s="509"/>
      <c r="K279" s="509"/>
      <c r="L279" s="509"/>
      <c r="M279" s="509"/>
      <c r="N279" s="509"/>
      <c r="O279" s="510"/>
      <c r="P279" s="247"/>
      <c r="Q279" s="247"/>
      <c r="T279" s="14"/>
      <c r="U279" s="1"/>
      <c r="V279" s="1"/>
      <c r="W279" s="1"/>
      <c r="X279" s="1"/>
      <c r="Y279" s="1"/>
      <c r="Z279" s="1"/>
      <c r="AA279" s="1"/>
      <c r="AB279" s="1"/>
      <c r="AC279" s="1"/>
      <c r="AD279" s="1"/>
      <c r="AE279" s="13"/>
    </row>
    <row r="280" spans="2:31" ht="16.5" hidden="1" customHeight="1">
      <c r="B280" s="103"/>
      <c r="C280" s="180"/>
      <c r="D280" s="511"/>
      <c r="E280" s="512"/>
      <c r="F280" s="512"/>
      <c r="G280" s="512"/>
      <c r="H280" s="512"/>
      <c r="I280" s="512"/>
      <c r="J280" s="512"/>
      <c r="K280" s="512"/>
      <c r="L280" s="512"/>
      <c r="M280" s="512"/>
      <c r="N280" s="512"/>
      <c r="O280" s="513"/>
      <c r="P280" s="247"/>
      <c r="Q280" s="247"/>
      <c r="T280" s="14"/>
      <c r="U280" s="1"/>
      <c r="V280" s="1"/>
      <c r="W280" s="1"/>
      <c r="X280" s="1"/>
      <c r="Y280" s="1"/>
      <c r="Z280" s="1"/>
      <c r="AA280" s="1"/>
      <c r="AB280" s="1"/>
      <c r="AC280" s="1"/>
      <c r="AD280" s="1"/>
      <c r="AE280" s="13"/>
    </row>
    <row r="281" spans="2:31" ht="16.5" hidden="1" customHeight="1">
      <c r="B281" s="103"/>
      <c r="C281" s="180"/>
      <c r="D281" s="511"/>
      <c r="E281" s="512"/>
      <c r="F281" s="512"/>
      <c r="G281" s="512"/>
      <c r="H281" s="512"/>
      <c r="I281" s="512"/>
      <c r="J281" s="512"/>
      <c r="K281" s="512"/>
      <c r="L281" s="512"/>
      <c r="M281" s="512"/>
      <c r="N281" s="512"/>
      <c r="O281" s="513"/>
      <c r="P281" s="175"/>
      <c r="Q281" s="175"/>
      <c r="T281" s="14"/>
      <c r="U281" s="1"/>
      <c r="V281" s="1"/>
      <c r="W281" s="1"/>
      <c r="X281" s="1"/>
      <c r="Y281" s="1"/>
      <c r="Z281" s="1"/>
      <c r="AA281" s="1"/>
      <c r="AB281" s="1"/>
      <c r="AC281" s="1"/>
      <c r="AD281" s="1"/>
      <c r="AE281" s="13"/>
    </row>
    <row r="282" spans="2:31" ht="16.5" hidden="1" customHeight="1" thickBot="1">
      <c r="B282" s="103"/>
      <c r="C282" s="180"/>
      <c r="D282" s="514"/>
      <c r="E282" s="515"/>
      <c r="F282" s="515"/>
      <c r="G282" s="515"/>
      <c r="H282" s="515"/>
      <c r="I282" s="515"/>
      <c r="J282" s="515"/>
      <c r="K282" s="515"/>
      <c r="L282" s="515"/>
      <c r="M282" s="515"/>
      <c r="N282" s="515"/>
      <c r="O282" s="516"/>
      <c r="T282" s="14"/>
      <c r="U282" s="1"/>
      <c r="V282" s="1"/>
      <c r="W282" s="1"/>
      <c r="X282" s="1"/>
      <c r="Y282" s="1"/>
      <c r="Z282" s="1"/>
      <c r="AA282" s="1"/>
      <c r="AB282" s="1"/>
      <c r="AC282" s="1"/>
      <c r="AD282" s="1"/>
      <c r="AE282" s="13"/>
    </row>
    <row r="283" spans="2:31" ht="16.5" hidden="1" customHeight="1">
      <c r="B283" s="5"/>
      <c r="C283" s="5"/>
      <c r="D283" s="254"/>
      <c r="E283" s="254"/>
      <c r="F283" s="254"/>
      <c r="G283" s="254"/>
      <c r="H283" s="254"/>
      <c r="I283" s="254"/>
      <c r="J283" s="254"/>
      <c r="K283" s="254"/>
      <c r="L283" s="254"/>
      <c r="M283" s="254"/>
      <c r="N283" s="254"/>
      <c r="O283" s="254"/>
      <c r="P283" s="177"/>
      <c r="Q283" s="177"/>
      <c r="T283" s="14"/>
      <c r="U283" s="1"/>
      <c r="V283" s="1"/>
      <c r="W283" s="1"/>
      <c r="X283" s="1"/>
      <c r="Y283" s="1"/>
      <c r="Z283" s="1"/>
      <c r="AA283" s="1"/>
      <c r="AB283" s="1"/>
      <c r="AC283" s="1"/>
      <c r="AD283" s="1"/>
      <c r="AE283" s="13"/>
    </row>
    <row r="284" spans="2:31" hidden="1">
      <c r="B284" s="5"/>
      <c r="C284" s="5"/>
      <c r="D284" s="254"/>
      <c r="E284" s="254"/>
      <c r="F284" s="254"/>
      <c r="G284" s="254"/>
      <c r="H284" s="254"/>
      <c r="I284" s="254"/>
      <c r="J284" s="254"/>
      <c r="K284" s="254"/>
      <c r="L284" s="254"/>
      <c r="M284" s="254"/>
      <c r="N284" s="254"/>
      <c r="O284" s="254"/>
      <c r="P284" s="177"/>
      <c r="Q284" s="177"/>
      <c r="T284" s="14"/>
      <c r="U284" s="1"/>
      <c r="V284" s="1"/>
      <c r="W284" s="1"/>
      <c r="X284" s="1"/>
      <c r="Y284" s="1"/>
      <c r="Z284" s="1"/>
      <c r="AA284" s="1"/>
      <c r="AB284" s="1"/>
      <c r="AC284" s="1"/>
      <c r="AD284" s="1"/>
      <c r="AE284" s="13"/>
    </row>
    <row r="285" spans="2:31">
      <c r="B285" s="5"/>
      <c r="C285" s="5"/>
      <c r="D285" s="254"/>
      <c r="E285" s="254"/>
      <c r="F285" s="254"/>
      <c r="G285" s="254"/>
      <c r="H285" s="254"/>
      <c r="I285" s="254"/>
      <c r="J285" s="254"/>
      <c r="K285" s="254"/>
      <c r="L285" s="254"/>
      <c r="M285" s="254"/>
      <c r="N285" s="254"/>
      <c r="O285" s="254"/>
      <c r="P285" s="177"/>
      <c r="Q285" s="177"/>
      <c r="T285" s="15"/>
      <c r="U285" s="10"/>
      <c r="V285" s="10"/>
      <c r="W285" s="10"/>
      <c r="X285" s="10"/>
      <c r="Y285" s="10"/>
      <c r="Z285" s="10"/>
      <c r="AA285" s="10"/>
      <c r="AB285" s="10"/>
      <c r="AC285" s="10"/>
      <c r="AD285" s="10"/>
      <c r="AE285" s="4"/>
    </row>
    <row r="286" spans="2:31" ht="16.5" thickBot="1">
      <c r="B286" s="220"/>
      <c r="C286" s="488" t="s">
        <v>382</v>
      </c>
      <c r="D286" s="488"/>
      <c r="E286" s="488"/>
      <c r="F286" s="488"/>
      <c r="G286" s="488"/>
      <c r="H286" s="488"/>
      <c r="I286" s="221"/>
      <c r="J286" s="221"/>
      <c r="K286" s="221"/>
      <c r="L286" s="221"/>
      <c r="M286" s="221"/>
      <c r="N286" s="221"/>
      <c r="O286" s="221"/>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customHeight="1">
      <c r="B288" s="103"/>
      <c r="C288" s="489" t="s">
        <v>390</v>
      </c>
      <c r="D288" s="489"/>
      <c r="E288" s="489"/>
      <c r="F288" s="489"/>
      <c r="G288" s="489"/>
      <c r="H288" s="489"/>
      <c r="I288" s="489"/>
      <c r="J288" s="489"/>
      <c r="K288" s="489"/>
      <c r="L288" s="489"/>
      <c r="M288" s="489"/>
      <c r="N288" s="489"/>
      <c r="O288" s="489"/>
      <c r="P288" s="1"/>
      <c r="T288" s="25"/>
      <c r="U288" s="490" t="s">
        <v>20</v>
      </c>
      <c r="V288" s="490"/>
      <c r="W288" s="490"/>
      <c r="X288" s="1"/>
      <c r="Y288" s="275" t="s">
        <v>6</v>
      </c>
      <c r="Z288" s="275"/>
      <c r="AA288" s="275"/>
      <c r="AB288" s="275" t="s">
        <v>23</v>
      </c>
      <c r="AC288" s="275"/>
      <c r="AD288" s="275"/>
      <c r="AE288" s="26" t="s">
        <v>24</v>
      </c>
    </row>
    <row r="289" spans="2:31" ht="15.75" customHeight="1">
      <c r="B289" s="103"/>
      <c r="C289" s="274"/>
      <c r="D289" s="60" t="s">
        <v>383</v>
      </c>
      <c r="E289" s="274"/>
      <c r="F289" s="274"/>
      <c r="G289" s="274"/>
      <c r="H289" s="274"/>
      <c r="I289" s="274"/>
      <c r="J289" s="274"/>
      <c r="K289" s="274"/>
      <c r="L289" s="274"/>
      <c r="M289" s="274"/>
      <c r="N289" s="274"/>
      <c r="O289" s="274"/>
      <c r="P289" s="1"/>
      <c r="T289" s="25"/>
      <c r="U289" s="275"/>
      <c r="V289" s="275"/>
      <c r="W289" s="275"/>
      <c r="X289" s="1"/>
      <c r="Y289" s="275"/>
      <c r="Z289" s="275"/>
      <c r="AA289" s="275"/>
      <c r="AB289" s="275"/>
      <c r="AC289" s="275"/>
      <c r="AD289" s="275"/>
      <c r="AE289" s="26"/>
    </row>
    <row r="290" spans="2:31" ht="16.5" thickBot="1">
      <c r="B290" s="103"/>
      <c r="C290" s="274"/>
      <c r="D290" s="60"/>
      <c r="E290" s="274"/>
      <c r="F290" s="274"/>
      <c r="G290" s="274"/>
      <c r="H290" s="274"/>
      <c r="I290" s="274"/>
      <c r="J290" s="274"/>
      <c r="K290" s="274"/>
      <c r="L290" s="274"/>
      <c r="M290" s="274"/>
      <c r="N290" s="274"/>
      <c r="O290" s="274"/>
      <c r="P290" s="1"/>
      <c r="T290" s="491" t="s">
        <v>386</v>
      </c>
      <c r="U290" s="490"/>
      <c r="V290" s="490"/>
      <c r="W290" s="490"/>
      <c r="X290" s="1"/>
      <c r="Y290" s="7">
        <f>'Mon Entreprise'!I126</f>
        <v>0</v>
      </c>
      <c r="Z290" s="133"/>
      <c r="AA290" s="21"/>
      <c r="AB290" s="7">
        <f>IF('Mon Entreprise'!I126-'Mon Entreprise'!M126&lt;0,0,'Mon Entreprise'!I126-'Mon Entreprise'!M126)</f>
        <v>0</v>
      </c>
      <c r="AC290" s="13"/>
      <c r="AD290" s="1"/>
      <c r="AE290" s="27">
        <f>IFERROR(1-'Mon Entreprise'!M126/'Mon Entreprise'!I126,0)</f>
        <v>0</v>
      </c>
    </row>
    <row r="291" spans="2:31" ht="15.75">
      <c r="B291" s="103"/>
      <c r="C291" s="274"/>
      <c r="D291" s="492"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93"/>
      <c r="F291" s="493"/>
      <c r="G291" s="493"/>
      <c r="H291" s="493"/>
      <c r="I291" s="493"/>
      <c r="J291" s="493"/>
      <c r="K291" s="493"/>
      <c r="L291" s="493"/>
      <c r="M291" s="493"/>
      <c r="N291" s="493"/>
      <c r="O291" s="494"/>
      <c r="P291" s="1"/>
      <c r="T291" s="491" t="s">
        <v>25</v>
      </c>
      <c r="U291" s="490"/>
      <c r="V291" s="490"/>
      <c r="W291" s="490"/>
      <c r="X291" s="1"/>
      <c r="Y291" s="7">
        <f>'Mon Entreprise'!I98</f>
        <v>0</v>
      </c>
      <c r="Z291" s="133"/>
      <c r="AA291" s="21"/>
      <c r="AB291" s="7">
        <f>IF('Mon Entreprise'!I98-'Mon Entreprise'!M126&lt;0,0,'Mon Entreprise'!I98-'Mon Entreprise'!M126)</f>
        <v>0</v>
      </c>
      <c r="AC291" s="36"/>
      <c r="AD291" s="1"/>
      <c r="AE291" s="27">
        <f>IFERROR(1-'Mon Entreprise'!M126/'Mon Entreprise'!I98,0)</f>
        <v>0</v>
      </c>
    </row>
    <row r="292" spans="2:31" ht="15.75" customHeight="1">
      <c r="B292" s="103"/>
      <c r="C292" s="274"/>
      <c r="D292" s="495"/>
      <c r="E292" s="496"/>
      <c r="F292" s="496"/>
      <c r="G292" s="496"/>
      <c r="H292" s="496"/>
      <c r="I292" s="496"/>
      <c r="J292" s="496"/>
      <c r="K292" s="496"/>
      <c r="L292" s="496"/>
      <c r="M292" s="496"/>
      <c r="N292" s="496"/>
      <c r="O292" s="497"/>
      <c r="P292" s="1"/>
      <c r="T292" s="501" t="s">
        <v>22</v>
      </c>
      <c r="U292" s="502"/>
      <c r="V292" s="502"/>
      <c r="W292" s="502"/>
      <c r="X292" s="139"/>
      <c r="Y292" s="140" t="str">
        <f>IF('Mon Entreprise'!I155="","NC",'Mon Entreprise'!I155)</f>
        <v>NC</v>
      </c>
      <c r="Z292" s="191"/>
      <c r="AA292" s="192"/>
      <c r="AB292" s="143" t="str">
        <f>IFERROR(IF('Mon Entreprise'!I155-'Mon Entreprise'!M126&lt;0,0,'Mon Entreprise'!I155-'Mon Entreprise'!M126),"NC")</f>
        <v>NC</v>
      </c>
      <c r="AC292" s="193"/>
      <c r="AD292" s="139"/>
      <c r="AE292" s="146" t="str">
        <f>IFERROR(1-'Mon Entreprise'!M126/'Mon Entreprise'!I155,"NC")</f>
        <v>NC</v>
      </c>
    </row>
    <row r="293" spans="2:31" ht="15.75" customHeight="1">
      <c r="B293" s="103"/>
      <c r="C293" s="301"/>
      <c r="D293" s="495"/>
      <c r="E293" s="496"/>
      <c r="F293" s="496"/>
      <c r="G293" s="496"/>
      <c r="H293" s="496"/>
      <c r="I293" s="496"/>
      <c r="J293" s="496"/>
      <c r="K293" s="496"/>
      <c r="L293" s="496"/>
      <c r="M293" s="496"/>
      <c r="N293" s="496"/>
      <c r="O293" s="497"/>
      <c r="P293" s="1"/>
      <c r="T293" s="302"/>
      <c r="U293" s="303"/>
      <c r="V293" s="303"/>
      <c r="W293" s="303"/>
      <c r="X293" s="139"/>
      <c r="Y293" s="140"/>
      <c r="Z293" s="141"/>
      <c r="AA293" s="192"/>
      <c r="AB293" s="143"/>
      <c r="AC293" s="303"/>
      <c r="AD293" s="139"/>
      <c r="AE293" s="146"/>
    </row>
    <row r="294" spans="2:31" ht="15.75" customHeight="1">
      <c r="B294" s="103"/>
      <c r="C294" s="274"/>
      <c r="D294" s="495"/>
      <c r="E294" s="496"/>
      <c r="F294" s="496"/>
      <c r="G294" s="496"/>
      <c r="H294" s="496"/>
      <c r="I294" s="496"/>
      <c r="J294" s="496"/>
      <c r="K294" s="496"/>
      <c r="L294" s="496"/>
      <c r="M294" s="496"/>
      <c r="N294" s="496"/>
      <c r="O294" s="497"/>
      <c r="P294" s="1"/>
      <c r="T294" s="14"/>
      <c r="U294" s="1"/>
      <c r="V294" s="1"/>
      <c r="W294" s="1"/>
      <c r="X294" s="1"/>
      <c r="Y294" s="1"/>
      <c r="Z294" s="1"/>
      <c r="AA294" s="1"/>
      <c r="AB294" s="1"/>
      <c r="AC294" s="1"/>
      <c r="AD294" s="1"/>
      <c r="AE294" s="13"/>
    </row>
    <row r="295" spans="2:31" ht="15.75" customHeight="1">
      <c r="B295" s="103"/>
      <c r="C295" s="274"/>
      <c r="D295" s="495"/>
      <c r="E295" s="496"/>
      <c r="F295" s="496"/>
      <c r="G295" s="496"/>
      <c r="H295" s="496"/>
      <c r="I295" s="496"/>
      <c r="J295" s="496"/>
      <c r="K295" s="496"/>
      <c r="L295" s="496"/>
      <c r="M295" s="496"/>
      <c r="N295" s="496"/>
      <c r="O295" s="497"/>
      <c r="P295" s="1"/>
      <c r="T295" s="14"/>
      <c r="AC295" s="1"/>
      <c r="AD295" s="1"/>
      <c r="AE295" s="13"/>
    </row>
    <row r="296" spans="2:31" ht="15.75" customHeight="1" thickBot="1">
      <c r="B296" s="103"/>
      <c r="C296" s="274"/>
      <c r="D296" s="498"/>
      <c r="E296" s="499"/>
      <c r="F296" s="499"/>
      <c r="G296" s="499"/>
      <c r="H296" s="499"/>
      <c r="I296" s="499"/>
      <c r="J296" s="499"/>
      <c r="K296" s="499"/>
      <c r="L296" s="499"/>
      <c r="M296" s="499"/>
      <c r="N296" s="499"/>
      <c r="O296" s="500"/>
      <c r="P296" s="1"/>
      <c r="T296" s="14"/>
      <c r="AC296" s="1"/>
      <c r="AD296" s="1"/>
      <c r="AE296" s="13"/>
    </row>
    <row r="297" spans="2:31" ht="16.5" customHeight="1">
      <c r="B297" s="103"/>
      <c r="C297" s="274"/>
      <c r="D297" s="330" t="s">
        <v>397</v>
      </c>
      <c r="E297" s="274"/>
      <c r="F297" s="274"/>
      <c r="G297" s="274"/>
      <c r="H297" s="274"/>
      <c r="I297" s="274"/>
      <c r="J297" s="274"/>
      <c r="K297" s="274"/>
      <c r="L297" s="274"/>
      <c r="M297" s="274"/>
      <c r="N297" s="274"/>
      <c r="O297" s="274"/>
      <c r="P297" s="1"/>
      <c r="T297" s="14"/>
      <c r="AC297" s="1"/>
      <c r="AD297" s="1"/>
      <c r="AE297" s="13"/>
    </row>
    <row r="298" spans="2:31" ht="15.75" hidden="1">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hidden="1">
      <c r="B299" s="103"/>
      <c r="C299" s="274"/>
      <c r="D299" s="60"/>
      <c r="E299" s="274"/>
      <c r="F299" s="274"/>
      <c r="G299" s="274"/>
      <c r="H299" s="274"/>
      <c r="I299" s="274"/>
      <c r="J299" s="274"/>
      <c r="K299" s="274"/>
      <c r="L299" s="274"/>
      <c r="M299" s="274"/>
      <c r="N299" s="274"/>
      <c r="O299" s="274"/>
      <c r="P299" s="1"/>
      <c r="T299" s="14"/>
      <c r="U299" s="1"/>
      <c r="V299" s="1"/>
      <c r="W299" s="1"/>
      <c r="X299" s="1"/>
      <c r="Y299" s="1"/>
      <c r="Z299" s="1"/>
      <c r="AA299" s="1"/>
      <c r="AB299" s="1"/>
      <c r="AC299" s="1"/>
      <c r="AD299" s="1"/>
      <c r="AE299" s="13"/>
    </row>
    <row r="300" spans="2:31" ht="15.75" hidden="1">
      <c r="B300" s="103"/>
      <c r="C300" s="274" t="s">
        <v>391</v>
      </c>
      <c r="D300" s="60"/>
      <c r="E300" s="274"/>
      <c r="F300" s="274"/>
      <c r="G300" s="274"/>
      <c r="H300" s="274"/>
      <c r="I300" s="274"/>
      <c r="J300" s="274"/>
      <c r="K300" s="274"/>
      <c r="L300" s="274"/>
      <c r="M300" s="274"/>
      <c r="N300" s="274"/>
      <c r="O300" s="274"/>
      <c r="P300" s="1"/>
      <c r="T300" s="14"/>
      <c r="U300" s="1"/>
      <c r="V300" s="1"/>
      <c r="W300" s="1"/>
      <c r="X300" s="1"/>
      <c r="Y300" s="1"/>
      <c r="Z300" s="1"/>
      <c r="AA300" s="1"/>
      <c r="AB300" s="1"/>
      <c r="AC300" s="1"/>
      <c r="AD300" s="1"/>
      <c r="AE300" s="13"/>
    </row>
    <row r="301" spans="2:31" ht="15.75" hidden="1">
      <c r="B301" s="103"/>
      <c r="C301" s="289" t="s">
        <v>392</v>
      </c>
      <c r="D301" s="60"/>
      <c r="E301" s="294"/>
      <c r="F301" s="294"/>
      <c r="G301" s="294"/>
      <c r="H301" s="294"/>
      <c r="I301" s="294"/>
      <c r="J301" s="294"/>
      <c r="K301" s="294"/>
      <c r="L301" s="294"/>
      <c r="M301" s="294"/>
      <c r="N301" s="294"/>
      <c r="O301" s="294"/>
      <c r="P301" s="1"/>
      <c r="T301" s="14"/>
      <c r="U301" s="506" t="s">
        <v>72</v>
      </c>
      <c r="V301" s="506"/>
      <c r="W301" s="506"/>
      <c r="X301" s="506"/>
      <c r="Y301" s="506"/>
      <c r="Z301" s="1"/>
      <c r="AA301" s="14"/>
      <c r="AB301" s="271" t="str">
        <f>IF('Mon Entreprise'!K8&lt;=Annexes!Q29,"Oui","Non")</f>
        <v>Oui</v>
      </c>
      <c r="AC301" s="1"/>
      <c r="AD301" s="1"/>
      <c r="AE301" s="13"/>
    </row>
    <row r="302" spans="2:31" ht="15.75" hidden="1">
      <c r="B302" s="168"/>
      <c r="C302" s="274"/>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274"/>
      <c r="F302" s="274"/>
      <c r="G302" s="274"/>
      <c r="H302" s="274"/>
      <c r="I302" s="274"/>
      <c r="J302" s="274"/>
      <c r="K302" s="274"/>
      <c r="L302" s="274"/>
      <c r="M302" s="274"/>
      <c r="N302" s="274"/>
      <c r="O302" s="274"/>
      <c r="P302" s="1"/>
      <c r="T302" s="14"/>
      <c r="U302" s="293"/>
      <c r="V302" s="506" t="s">
        <v>393</v>
      </c>
      <c r="W302" s="506"/>
      <c r="X302" s="506"/>
      <c r="Y302" s="506"/>
      <c r="Z302" s="1"/>
      <c r="AA302" s="14"/>
      <c r="AB302" s="292">
        <f>IF('Mon Entreprise'!K8&gt;=Annexes!O20,IF(Y290&gt;=Y292,Y290,Y292),IF(Y290&gt;=Y291,Y290,Y291))</f>
        <v>0</v>
      </c>
      <c r="AC302" s="1"/>
      <c r="AD302" s="1"/>
      <c r="AE302" s="13"/>
    </row>
    <row r="303" spans="2:31" ht="15.75" hidden="1">
      <c r="B303" s="168"/>
      <c r="C303" s="294"/>
      <c r="D303" s="507"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507"/>
      <c r="F303" s="507"/>
      <c r="G303" s="507"/>
      <c r="H303" s="507"/>
      <c r="I303" s="507"/>
      <c r="J303" s="507"/>
      <c r="K303" s="507"/>
      <c r="L303" s="507"/>
      <c r="M303" s="507"/>
      <c r="N303" s="507"/>
      <c r="O303" s="507"/>
      <c r="P303" s="1"/>
      <c r="T303" s="14"/>
      <c r="U303" s="506" t="s">
        <v>84</v>
      </c>
      <c r="V303" s="506"/>
      <c r="W303" s="506"/>
      <c r="X303" s="506"/>
      <c r="Y303" s="506"/>
      <c r="Z303" s="1"/>
      <c r="AA303" s="14"/>
      <c r="AB303" s="269">
        <f>IF('Mon Entreprise'!K8&gt;=Annexes!O20,IF(AB290&gt;=AB292,AB290,AB292),IF(AB290&gt;=AB291,AB290,AB291))</f>
        <v>0</v>
      </c>
      <c r="AC303" s="1"/>
      <c r="AD303" s="1"/>
      <c r="AE303" s="13"/>
    </row>
    <row r="304" spans="2:31" ht="15.75" hidden="1">
      <c r="B304" s="168"/>
      <c r="C304" s="294"/>
      <c r="D304" s="507"/>
      <c r="E304" s="507"/>
      <c r="F304" s="507"/>
      <c r="G304" s="507"/>
      <c r="H304" s="507"/>
      <c r="I304" s="507"/>
      <c r="J304" s="507"/>
      <c r="K304" s="507"/>
      <c r="L304" s="507"/>
      <c r="M304" s="507"/>
      <c r="N304" s="507"/>
      <c r="O304" s="507"/>
      <c r="P304" s="1"/>
      <c r="T304" s="14"/>
      <c r="U304" s="506" t="s">
        <v>85</v>
      </c>
      <c r="V304" s="506"/>
      <c r="W304" s="506"/>
      <c r="X304" s="506"/>
      <c r="Y304" s="506"/>
      <c r="Z304" s="1"/>
      <c r="AA304" s="14"/>
      <c r="AB304" s="19">
        <f>IF('Mon Entreprise'!K8&gt;=Annexes!O20,IF(AB290&gt;=AB292,AE290,AE292),IF(AB290&gt;=AB291,AE290,AE291))</f>
        <v>0</v>
      </c>
      <c r="AC304" s="1"/>
      <c r="AD304" s="1"/>
      <c r="AE304" s="13"/>
    </row>
    <row r="305" spans="1:31" ht="16.5" hidden="1" thickBot="1">
      <c r="B305" s="103"/>
      <c r="C305" s="274"/>
      <c r="D305" s="60"/>
      <c r="E305" s="274"/>
      <c r="F305" s="274"/>
      <c r="G305" s="274"/>
      <c r="H305" s="274"/>
      <c r="I305" s="274"/>
      <c r="J305" s="274"/>
      <c r="K305" s="274"/>
      <c r="L305" s="274"/>
      <c r="M305" s="274"/>
      <c r="N305" s="274"/>
      <c r="O305" s="274"/>
      <c r="P305" s="1"/>
      <c r="T305" s="14"/>
      <c r="U305" s="1"/>
      <c r="V305" s="1"/>
      <c r="W305" s="1"/>
      <c r="X305" s="1"/>
      <c r="Y305" s="1"/>
      <c r="Z305" s="1"/>
      <c r="AA305" s="1"/>
      <c r="AB305" s="1"/>
      <c r="AC305" s="1"/>
      <c r="AD305" s="1"/>
      <c r="AE305" s="13"/>
    </row>
    <row r="306" spans="1:31" ht="15.75" hidden="1">
      <c r="B306" s="168"/>
      <c r="C306" s="274"/>
      <c r="D306" s="508"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509"/>
      <c r="F306" s="509"/>
      <c r="G306" s="509"/>
      <c r="H306" s="509"/>
      <c r="I306" s="509"/>
      <c r="J306" s="509"/>
      <c r="K306" s="509"/>
      <c r="L306" s="509"/>
      <c r="M306" s="509"/>
      <c r="N306" s="509"/>
      <c r="O306" s="510"/>
      <c r="P306" s="1"/>
      <c r="T306" s="14"/>
      <c r="U306" s="1"/>
      <c r="V306" s="1"/>
      <c r="W306" s="1"/>
      <c r="X306" s="1"/>
      <c r="Y306" s="1"/>
      <c r="Z306" s="1"/>
      <c r="AA306" s="1"/>
      <c r="AB306" s="1"/>
      <c r="AC306" s="1"/>
      <c r="AD306" s="1"/>
      <c r="AE306" s="13"/>
    </row>
    <row r="307" spans="1:31" ht="15.75" hidden="1" customHeight="1">
      <c r="B307" s="168"/>
      <c r="C307" s="274"/>
      <c r="D307" s="511"/>
      <c r="E307" s="512"/>
      <c r="F307" s="512"/>
      <c r="G307" s="512"/>
      <c r="H307" s="512"/>
      <c r="I307" s="512"/>
      <c r="J307" s="512"/>
      <c r="K307" s="512"/>
      <c r="L307" s="512"/>
      <c r="M307" s="512"/>
      <c r="N307" s="512"/>
      <c r="O307" s="513"/>
      <c r="P307" s="1"/>
      <c r="T307" s="14"/>
      <c r="U307" s="1"/>
      <c r="V307" s="1"/>
      <c r="W307" s="1"/>
      <c r="X307" s="1"/>
      <c r="Y307" s="1"/>
      <c r="Z307" s="1"/>
      <c r="AA307" s="1"/>
      <c r="AB307" s="1"/>
      <c r="AC307" s="1"/>
      <c r="AD307" s="1"/>
      <c r="AE307" s="13"/>
    </row>
    <row r="308" spans="1:31" ht="15.75" hidden="1" customHeight="1">
      <c r="B308" s="103"/>
      <c r="C308" s="274"/>
      <c r="D308" s="511"/>
      <c r="E308" s="512"/>
      <c r="F308" s="512"/>
      <c r="G308" s="512"/>
      <c r="H308" s="512"/>
      <c r="I308" s="512"/>
      <c r="J308" s="512"/>
      <c r="K308" s="512"/>
      <c r="L308" s="512"/>
      <c r="M308" s="512"/>
      <c r="N308" s="512"/>
      <c r="O308" s="513"/>
      <c r="P308" s="1"/>
      <c r="T308" s="14"/>
      <c r="U308" s="1"/>
      <c r="V308" s="1"/>
      <c r="W308" s="1"/>
      <c r="X308" s="1"/>
      <c r="Y308" s="1"/>
      <c r="Z308" s="1"/>
      <c r="AA308" s="1"/>
      <c r="AB308" s="1"/>
      <c r="AC308" s="1"/>
      <c r="AD308" s="1"/>
      <c r="AE308" s="13"/>
    </row>
    <row r="309" spans="1:31" ht="15.75" hidden="1" customHeight="1" thickBot="1">
      <c r="B309" s="103"/>
      <c r="C309" s="274"/>
      <c r="D309" s="514"/>
      <c r="E309" s="515"/>
      <c r="F309" s="515"/>
      <c r="G309" s="515"/>
      <c r="H309" s="515"/>
      <c r="I309" s="515"/>
      <c r="J309" s="515"/>
      <c r="K309" s="515"/>
      <c r="L309" s="515"/>
      <c r="M309" s="515"/>
      <c r="N309" s="515"/>
      <c r="O309" s="516"/>
      <c r="P309" s="1"/>
      <c r="T309" s="14"/>
      <c r="U309" s="1"/>
      <c r="V309" s="1"/>
      <c r="W309" s="1"/>
      <c r="X309" s="1"/>
      <c r="Y309" s="1"/>
      <c r="Z309" s="1"/>
      <c r="AA309" s="1"/>
      <c r="AB309" s="1"/>
      <c r="AC309" s="1"/>
      <c r="AD309" s="1"/>
      <c r="AE309" s="13"/>
    </row>
    <row r="310" spans="1:31" ht="16.5" hidden="1" customHeight="1">
      <c r="B310" s="103"/>
      <c r="C310" s="169"/>
      <c r="D310" s="517" t="s">
        <v>395</v>
      </c>
      <c r="E310" s="517"/>
      <c r="F310" s="517"/>
      <c r="G310" s="517"/>
      <c r="H310" s="517"/>
      <c r="I310" s="517"/>
      <c r="J310" s="517"/>
      <c r="K310" s="517"/>
      <c r="L310" s="517"/>
      <c r="M310" s="517"/>
      <c r="N310" s="517"/>
      <c r="O310" s="517"/>
      <c r="P310" s="1"/>
      <c r="T310" s="518" t="s">
        <v>4</v>
      </c>
      <c r="U310" s="519"/>
      <c r="V310" s="519"/>
      <c r="W310" s="519"/>
      <c r="X310" s="519"/>
      <c r="Y310" s="519"/>
      <c r="Z310" s="139"/>
      <c r="AA310" s="145"/>
      <c r="AB310" s="194">
        <f>IFERROR(IF('Mon Entreprise'!K8&gt;=Annexes!Q18,0,1-'Mon Entreprise'!M118/2/AB302),0)</f>
        <v>0</v>
      </c>
      <c r="AC310" s="1"/>
      <c r="AD310" s="1"/>
      <c r="AE310" s="13"/>
    </row>
    <row r="311" spans="1:31" ht="16.5" hidden="1" customHeight="1">
      <c r="B311" s="103"/>
      <c r="C311" s="274"/>
      <c r="D311" s="270"/>
      <c r="E311" s="270"/>
      <c r="F311" s="270"/>
      <c r="G311" s="270"/>
      <c r="H311" s="270"/>
      <c r="I311" s="270"/>
      <c r="J311" s="270"/>
      <c r="K311" s="270"/>
      <c r="L311" s="270"/>
      <c r="M311" s="270"/>
      <c r="N311" s="270"/>
      <c r="O311" s="270"/>
      <c r="P311" s="1"/>
      <c r="T311" s="110"/>
      <c r="U311" s="520" t="s">
        <v>102</v>
      </c>
      <c r="V311" s="520"/>
      <c r="W311" s="520"/>
      <c r="X311" s="520"/>
      <c r="Y311" s="520"/>
      <c r="Z311" s="139"/>
      <c r="AA311" s="145"/>
      <c r="AB311" s="194">
        <f>IFERROR(IF('Mon Entreprise'!K8&gt;Annexes!Q29,0,IF('Mon Entreprise'!K8&gt;Annexes!Q26,1,1-'Mon Entreprise'!M114/AB302)),0)</f>
        <v>0</v>
      </c>
      <c r="AC311" s="1"/>
      <c r="AD311" s="1"/>
      <c r="AE311" s="13"/>
    </row>
    <row r="312" spans="1:31" ht="16.5" hidden="1" customHeight="1">
      <c r="B312" s="103"/>
      <c r="C312" s="505" t="s">
        <v>396</v>
      </c>
      <c r="D312" s="505"/>
      <c r="E312" s="505"/>
      <c r="F312" s="505"/>
      <c r="G312" s="505"/>
      <c r="H312" s="505"/>
      <c r="I312" s="505"/>
      <c r="J312" s="505"/>
      <c r="K312" s="505"/>
      <c r="L312" s="505"/>
      <c r="M312" s="505"/>
      <c r="N312" s="505"/>
      <c r="O312" s="505"/>
      <c r="P312" s="1"/>
      <c r="T312" s="110"/>
      <c r="U312" s="520" t="s">
        <v>109</v>
      </c>
      <c r="V312" s="520"/>
      <c r="W312" s="520"/>
      <c r="X312" s="520"/>
      <c r="Y312" s="520"/>
      <c r="Z312" s="139"/>
      <c r="AA312" s="145"/>
      <c r="AB312" s="194">
        <f>IFERROR(IF(Annexes!O27&gt;'Mon Entreprise'!K8,1-'Mon Entreprise'!M98/'Mon Entreprise'!I98,0),0)</f>
        <v>0</v>
      </c>
      <c r="AC312" s="1"/>
      <c r="AD312" s="1"/>
      <c r="AE312" s="13"/>
    </row>
    <row r="313" spans="1:31" ht="16.5" hidden="1" customHeight="1">
      <c r="B313" s="103"/>
      <c r="C313" s="505"/>
      <c r="D313" s="505"/>
      <c r="E313" s="505"/>
      <c r="F313" s="505"/>
      <c r="G313" s="505"/>
      <c r="H313" s="505"/>
      <c r="I313" s="505"/>
      <c r="J313" s="505"/>
      <c r="K313" s="505"/>
      <c r="L313" s="505"/>
      <c r="M313" s="505"/>
      <c r="N313" s="505"/>
      <c r="O313" s="505"/>
      <c r="P313" s="1"/>
      <c r="T313" s="110"/>
      <c r="U313" s="272"/>
      <c r="V313" s="272"/>
      <c r="W313" s="272"/>
      <c r="X313" s="272"/>
      <c r="Y313" s="272"/>
      <c r="Z313" s="139"/>
      <c r="AA313" s="145"/>
      <c r="AB313" s="194"/>
      <c r="AC313" s="1"/>
      <c r="AD313" s="1"/>
      <c r="AE313" s="13"/>
    </row>
    <row r="314" spans="1:31" ht="16.5" hidden="1" customHeight="1">
      <c r="B314" s="103"/>
      <c r="C314" s="505"/>
      <c r="D314" s="505"/>
      <c r="E314" s="505"/>
      <c r="F314" s="505"/>
      <c r="G314" s="505"/>
      <c r="H314" s="505"/>
      <c r="I314" s="505"/>
      <c r="J314" s="505"/>
      <c r="K314" s="505"/>
      <c r="L314" s="505"/>
      <c r="M314" s="505"/>
      <c r="N314" s="505"/>
      <c r="O314" s="505"/>
      <c r="P314" s="1"/>
      <c r="T314" s="14"/>
      <c r="U314" s="521" t="s">
        <v>8</v>
      </c>
      <c r="V314" s="521"/>
      <c r="W314" s="521"/>
      <c r="X314" s="521"/>
      <c r="Y314" s="521"/>
      <c r="Z314" s="1"/>
      <c r="AA314" s="14"/>
      <c r="AB314" s="269" t="str">
        <f>IF((AND(Annexes!F5&gt;1,Annexes!F5&lt;=Annexes!H6)),"OUI","NON")</f>
        <v>NON</v>
      </c>
      <c r="AC314" s="1"/>
      <c r="AD314" s="1"/>
      <c r="AE314" s="13"/>
    </row>
    <row r="315" spans="1:31" ht="16.5" hidden="1" customHeight="1">
      <c r="B315" s="103"/>
      <c r="C315" s="505"/>
      <c r="D315" s="505"/>
      <c r="E315" s="505"/>
      <c r="F315" s="505"/>
      <c r="G315" s="505"/>
      <c r="H315" s="505"/>
      <c r="I315" s="505"/>
      <c r="J315" s="505"/>
      <c r="K315" s="505"/>
      <c r="L315" s="505"/>
      <c r="M315" s="505"/>
      <c r="N315" s="505"/>
      <c r="O315" s="505"/>
      <c r="P315" s="1"/>
      <c r="T315" s="14"/>
      <c r="U315" s="273"/>
      <c r="V315" s="273"/>
      <c r="W315" s="273"/>
      <c r="X315" s="273"/>
      <c r="Y315" s="273" t="s">
        <v>9</v>
      </c>
      <c r="Z315" s="1"/>
      <c r="AA315" s="14"/>
      <c r="AB315" s="269" t="str">
        <f>IF(AND(Annexes!F7&gt;1,Annexes!F7&lt;=Annexes!H8),"OUI","NON")</f>
        <v>NON</v>
      </c>
      <c r="AC315" s="1"/>
      <c r="AD315" s="1"/>
      <c r="AE315" s="13"/>
    </row>
    <row r="316" spans="1:31" ht="16.5" hidden="1" customHeight="1">
      <c r="B316" s="103"/>
      <c r="C316" s="274"/>
      <c r="D316" s="270"/>
      <c r="E316" s="417"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417"/>
      <c r="G316" s="417"/>
      <c r="H316" s="417"/>
      <c r="I316" s="417"/>
      <c r="J316" s="417"/>
      <c r="K316" s="417"/>
      <c r="L316" s="417"/>
      <c r="M316" s="417"/>
      <c r="N316" s="417"/>
      <c r="O316" s="417"/>
      <c r="P316" s="1"/>
      <c r="T316" s="491" t="s">
        <v>454</v>
      </c>
      <c r="U316" s="490"/>
      <c r="V316" s="490"/>
      <c r="W316" s="490"/>
      <c r="X316" s="490"/>
      <c r="Y316" s="490"/>
      <c r="Z316" s="1"/>
      <c r="AA316" s="14"/>
      <c r="AB316" s="269" t="str">
        <f>IF(OR(Annexes!M17=TRUE,Annexes!M23=TRUE,Annexes!M24=TRUE),"OUI","NON")</f>
        <v>NON</v>
      </c>
      <c r="AC316" s="1"/>
      <c r="AD316" s="1"/>
      <c r="AE316" s="13"/>
    </row>
    <row r="317" spans="1:31" ht="16.5" hidden="1" customHeight="1">
      <c r="B317" s="103"/>
      <c r="C317" s="274"/>
      <c r="D317" s="270"/>
      <c r="E317" s="417"/>
      <c r="F317" s="417"/>
      <c r="G317" s="417"/>
      <c r="H317" s="417"/>
      <c r="I317" s="417"/>
      <c r="J317" s="417"/>
      <c r="K317" s="417"/>
      <c r="L317" s="417"/>
      <c r="M317" s="417"/>
      <c r="N317" s="417"/>
      <c r="O317" s="417"/>
      <c r="P317" s="1"/>
      <c r="T317" s="14"/>
      <c r="U317" s="490" t="s">
        <v>313</v>
      </c>
      <c r="V317" s="490"/>
      <c r="W317" s="490"/>
      <c r="X317" s="490"/>
      <c r="Y317" s="490"/>
      <c r="Z317" s="1"/>
      <c r="AA317" s="14"/>
      <c r="AB317" s="269" t="b">
        <f>IF(Annexes!M26=TRUE,TRUE,FALSE)</f>
        <v>0</v>
      </c>
      <c r="AC317" s="1"/>
      <c r="AD317" s="1"/>
      <c r="AE317" s="13"/>
    </row>
    <row r="318" spans="1:31" ht="16.5" hidden="1" customHeight="1">
      <c r="B318" s="168"/>
      <c r="C318" s="274"/>
      <c r="D318" s="270"/>
      <c r="E318" s="417"/>
      <c r="F318" s="417"/>
      <c r="G318" s="417"/>
      <c r="H318" s="417"/>
      <c r="I318" s="417"/>
      <c r="J318" s="417"/>
      <c r="K318" s="417"/>
      <c r="L318" s="417"/>
      <c r="M318" s="417"/>
      <c r="N318" s="417"/>
      <c r="O318" s="417"/>
      <c r="P318" s="1"/>
      <c r="T318" s="14"/>
      <c r="U318" s="490" t="s">
        <v>394</v>
      </c>
      <c r="V318" s="490"/>
      <c r="W318" s="490"/>
      <c r="X318" s="490"/>
      <c r="Y318" s="490"/>
      <c r="Z318" s="1"/>
      <c r="AA318" s="14"/>
      <c r="AB318" s="291" t="b">
        <f>IF(Annexes!M27=TRUE,TRUE,FALSE)</f>
        <v>0</v>
      </c>
      <c r="AC318" s="1"/>
      <c r="AD318" s="1"/>
      <c r="AE318" s="13"/>
    </row>
    <row r="319" spans="1:31" ht="16.5" hidden="1" customHeight="1">
      <c r="A319" s="99"/>
      <c r="B319" s="103"/>
      <c r="C319" s="274"/>
      <c r="D319" s="523"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523"/>
      <c r="F319" s="523"/>
      <c r="G319" s="523"/>
      <c r="H319" s="523"/>
      <c r="I319" s="523"/>
      <c r="J319" s="523"/>
      <c r="K319" s="523"/>
      <c r="L319" s="523"/>
      <c r="M319" s="523"/>
      <c r="N319" s="523"/>
      <c r="O319" s="523"/>
      <c r="P319" s="1"/>
      <c r="T319" s="14"/>
      <c r="U319" s="291"/>
      <c r="V319" s="291"/>
      <c r="W319" s="291"/>
      <c r="X319" s="291"/>
      <c r="Y319" s="291"/>
      <c r="Z319" s="1"/>
      <c r="AA319" s="14"/>
      <c r="AB319" s="291"/>
      <c r="AC319" s="1"/>
      <c r="AD319" s="1"/>
      <c r="AE319" s="13"/>
    </row>
    <row r="320" spans="1:31" ht="16.5" hidden="1" customHeight="1">
      <c r="A320" s="99"/>
      <c r="B320" s="103"/>
      <c r="C320" s="294"/>
      <c r="D320" s="52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524"/>
      <c r="F320" s="524"/>
      <c r="G320" s="524"/>
      <c r="H320" s="524"/>
      <c r="I320" s="524"/>
      <c r="J320" s="524"/>
      <c r="K320" s="524"/>
      <c r="L320" s="524"/>
      <c r="M320" s="524"/>
      <c r="N320" s="524"/>
      <c r="O320" s="524"/>
      <c r="P320" s="1"/>
      <c r="T320" s="14"/>
      <c r="U320" s="525" t="s">
        <v>72</v>
      </c>
      <c r="V320" s="525"/>
      <c r="W320" s="525"/>
      <c r="X320" s="525"/>
      <c r="Y320" s="525"/>
      <c r="Z320" s="139"/>
      <c r="AA320" s="145"/>
      <c r="AB320" s="271" t="str">
        <f>IF(AB301="Oui","Oui","Non")</f>
        <v>Oui</v>
      </c>
      <c r="AC320" s="139"/>
      <c r="AD320" s="1"/>
      <c r="AE320" s="13"/>
    </row>
    <row r="321" spans="1:31" ht="16.5" hidden="1" customHeight="1">
      <c r="A321" s="99"/>
      <c r="B321" s="103"/>
      <c r="C321" s="294"/>
      <c r="D321" s="524"/>
      <c r="E321" s="524"/>
      <c r="F321" s="524"/>
      <c r="G321" s="524"/>
      <c r="H321" s="524"/>
      <c r="I321" s="524"/>
      <c r="J321" s="524"/>
      <c r="K321" s="524"/>
      <c r="L321" s="524"/>
      <c r="M321" s="524"/>
      <c r="N321" s="524"/>
      <c r="O321" s="524"/>
      <c r="P321" s="1"/>
      <c r="T321" s="14"/>
      <c r="U321" s="525" t="s">
        <v>84</v>
      </c>
      <c r="V321" s="525"/>
      <c r="W321" s="525"/>
      <c r="X321" s="525"/>
      <c r="Y321" s="525"/>
      <c r="Z321" s="139"/>
      <c r="AA321" s="145"/>
      <c r="AB321" s="271">
        <f>IF('Mon Entreprise'!K8&gt;=Annexes!O20,IF(AB290&gt;=AB292,AB290,AB292),IF(AB290&gt;=AB291,AB290,AB291))</f>
        <v>0</v>
      </c>
      <c r="AC321" s="139"/>
      <c r="AD321" s="1"/>
      <c r="AE321" s="13"/>
    </row>
    <row r="322" spans="1:31" ht="16.5" hidden="1" customHeight="1">
      <c r="B322" s="103"/>
      <c r="C322" s="274"/>
      <c r="D322" s="215" t="str">
        <f>IF(OR(AB314="OUI",AB317=TRUE),"- Sans ticket modérateur",IF(AND(OR(AB316="OUI",AB315="OUI"),OR(AB310&gt;=0.8,AB311&gt;=0.8,AB312&gt;=0.1)),"- La Perte de référence est plafonnée à 80 %, soit "&amp;ROUND(AB325,0)&amp;" €","- Sans ticket modérateur"))</f>
        <v>- Sans ticket modérateur</v>
      </c>
      <c r="E322" s="268"/>
      <c r="F322" s="268"/>
      <c r="G322" s="268"/>
      <c r="H322" s="268"/>
      <c r="I322" s="268"/>
      <c r="J322" s="268"/>
      <c r="K322" s="268"/>
      <c r="L322" s="268"/>
      <c r="M322" s="268"/>
      <c r="N322" s="268"/>
      <c r="O322" s="268"/>
      <c r="P322" s="1"/>
      <c r="T322" s="14"/>
      <c r="U322" s="525" t="s">
        <v>85</v>
      </c>
      <c r="V322" s="525"/>
      <c r="W322" s="525"/>
      <c r="X322" s="525"/>
      <c r="Y322" s="525"/>
      <c r="Z322" s="139"/>
      <c r="AA322" s="145"/>
      <c r="AB322" s="271">
        <f>IF('Mon Entreprise'!K8&gt;=Annexes!O20,IF(AB290&gt;=AB292,AE290,AE292),IF(AB290&gt;=AB291,AE290,AE291))</f>
        <v>0</v>
      </c>
      <c r="AC322" s="139"/>
      <c r="AD322" s="1"/>
      <c r="AE322" s="13"/>
    </row>
    <row r="323" spans="1:31" ht="16.5" hidden="1" customHeight="1" thickBot="1">
      <c r="B323" s="103"/>
      <c r="C323" s="274"/>
      <c r="D323" s="268"/>
      <c r="E323" s="268"/>
      <c r="F323" s="268"/>
      <c r="G323" s="268"/>
      <c r="H323" s="268"/>
      <c r="I323" s="268"/>
      <c r="J323" s="268"/>
      <c r="K323" s="268"/>
      <c r="L323" s="268"/>
      <c r="M323" s="268"/>
      <c r="N323" s="268"/>
      <c r="O323" s="268"/>
      <c r="P323" s="1"/>
      <c r="T323" s="14"/>
      <c r="U323" s="502" t="s">
        <v>74</v>
      </c>
      <c r="V323" s="502"/>
      <c r="W323" s="502"/>
      <c r="X323" s="502"/>
      <c r="Y323" s="502"/>
      <c r="Z323" s="139"/>
      <c r="AA323" s="145"/>
      <c r="AB323" s="271">
        <f>IF(OR(AB314="OUI",AB317=TRUE),1,IF(AND(OR(AB316="OUI",AB315="OUI"),OR(AB310&gt;=0.8,AB311&gt;=0.8,AB312&gt;=0.1)),0.8,1))</f>
        <v>1</v>
      </c>
      <c r="AC323" s="139"/>
      <c r="AD323" s="1"/>
      <c r="AE323" s="13"/>
    </row>
    <row r="324" spans="1:31" ht="16.5" hidden="1" customHeight="1">
      <c r="B324" s="103"/>
      <c r="C324" s="274"/>
      <c r="D324" s="508"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509"/>
      <c r="F324" s="509"/>
      <c r="G324" s="509"/>
      <c r="H324" s="509"/>
      <c r="I324" s="509"/>
      <c r="J324" s="509"/>
      <c r="K324" s="509"/>
      <c r="L324" s="509"/>
      <c r="M324" s="509"/>
      <c r="N324" s="509"/>
      <c r="O324" s="510"/>
      <c r="P324" s="1"/>
      <c r="T324" s="14"/>
      <c r="U324" s="502" t="s">
        <v>80</v>
      </c>
      <c r="V324" s="502"/>
      <c r="W324" s="502"/>
      <c r="X324" s="502"/>
      <c r="Y324" s="502"/>
      <c r="Z324" s="139"/>
      <c r="AA324" s="145"/>
      <c r="AB324" s="271">
        <f>IF('Mon Entreprise'!K8&gt;=Annexes!O20,IF(AB290&gt;=AB292,Y290,Y292),IF(AB290&gt;=AB291,Y290,Y291))</f>
        <v>0</v>
      </c>
      <c r="AC324" s="139"/>
      <c r="AD324" s="1"/>
      <c r="AE324" s="13"/>
    </row>
    <row r="325" spans="1:31" ht="16.5" hidden="1" customHeight="1">
      <c r="B325" s="173"/>
      <c r="C325" s="274"/>
      <c r="D325" s="511"/>
      <c r="E325" s="512"/>
      <c r="F325" s="512"/>
      <c r="G325" s="512"/>
      <c r="H325" s="512"/>
      <c r="I325" s="512"/>
      <c r="J325" s="512"/>
      <c r="K325" s="512"/>
      <c r="L325" s="512"/>
      <c r="M325" s="512"/>
      <c r="N325" s="512"/>
      <c r="O325" s="513"/>
      <c r="P325" s="1"/>
      <c r="T325" s="14"/>
      <c r="U325" s="490" t="s">
        <v>104</v>
      </c>
      <c r="V325" s="490"/>
      <c r="W325" s="490"/>
      <c r="X325" s="490"/>
      <c r="Y325" s="490"/>
      <c r="Z325" s="1"/>
      <c r="AA325" s="14"/>
      <c r="AB325" s="269">
        <f>IF(AB323=1,AB321,IF(AB321*AB323&gt;1500,IF(AB321&gt;1500,AB321*AB323,"Impossible"),IF(AB321&lt;1500,AB321,1500)))</f>
        <v>0</v>
      </c>
      <c r="AC325" s="1"/>
      <c r="AD325" s="1"/>
      <c r="AE325" s="13"/>
    </row>
    <row r="326" spans="1:31" ht="16.5" hidden="1" customHeight="1">
      <c r="B326" s="103"/>
      <c r="C326" s="274"/>
      <c r="D326" s="511"/>
      <c r="E326" s="512"/>
      <c r="F326" s="512"/>
      <c r="G326" s="512"/>
      <c r="H326" s="512"/>
      <c r="I326" s="512"/>
      <c r="J326" s="512"/>
      <c r="K326" s="512"/>
      <c r="L326" s="512"/>
      <c r="M326" s="512"/>
      <c r="N326" s="512"/>
      <c r="O326" s="513"/>
      <c r="P326" s="1"/>
      <c r="T326" s="14"/>
      <c r="U326" s="269"/>
      <c r="V326" s="269"/>
      <c r="W326" s="269"/>
      <c r="X326" s="269"/>
      <c r="Y326" s="269"/>
      <c r="Z326" s="1"/>
      <c r="AA326" s="1"/>
      <c r="AB326" s="1"/>
      <c r="AC326" s="1"/>
      <c r="AD326" s="1"/>
      <c r="AE326" s="13"/>
    </row>
    <row r="327" spans="1:31" ht="16.5" hidden="1" customHeight="1" thickBot="1">
      <c r="B327" s="103"/>
      <c r="C327" s="274"/>
      <c r="D327" s="514"/>
      <c r="E327" s="515"/>
      <c r="F327" s="515"/>
      <c r="G327" s="515"/>
      <c r="H327" s="515"/>
      <c r="I327" s="515"/>
      <c r="J327" s="515"/>
      <c r="K327" s="515"/>
      <c r="L327" s="515"/>
      <c r="M327" s="515"/>
      <c r="N327" s="515"/>
      <c r="O327" s="516"/>
      <c r="P327" s="1"/>
      <c r="T327" s="14"/>
      <c r="U327" s="490"/>
      <c r="V327" s="490"/>
      <c r="W327" s="490"/>
      <c r="X327" s="490"/>
      <c r="Y327" s="490"/>
      <c r="Z327" s="1"/>
      <c r="AA327" s="1"/>
      <c r="AB327" s="1"/>
      <c r="AC327" s="1"/>
      <c r="AD327" s="1"/>
      <c r="AE327" s="13"/>
    </row>
    <row r="328" spans="1:31" ht="16.5" hidden="1" customHeight="1">
      <c r="B328" s="103"/>
      <c r="C328" s="169"/>
      <c r="D328" s="174"/>
      <c r="E328" s="174"/>
      <c r="F328" s="174"/>
      <c r="G328" s="174"/>
      <c r="H328" s="174"/>
      <c r="I328" s="174"/>
      <c r="J328" s="174"/>
      <c r="K328" s="174"/>
      <c r="L328" s="174"/>
      <c r="M328" s="174"/>
      <c r="N328" s="174"/>
      <c r="O328" s="174"/>
      <c r="P328" s="1"/>
      <c r="T328" s="14"/>
      <c r="U328" s="269"/>
      <c r="V328" s="269"/>
      <c r="W328" s="269"/>
      <c r="X328" s="269"/>
      <c r="Y328" s="269"/>
      <c r="Z328" s="1"/>
      <c r="AA328" s="1"/>
      <c r="AB328" s="1"/>
      <c r="AC328" s="1"/>
      <c r="AD328" s="1"/>
      <c r="AE328" s="13"/>
    </row>
    <row r="329" spans="1:31" ht="16.5" hidden="1" customHeight="1">
      <c r="B329" s="103"/>
      <c r="C329" s="274"/>
      <c r="D329" s="268"/>
      <c r="E329" s="268"/>
      <c r="F329" s="268"/>
      <c r="G329" s="268"/>
      <c r="H329" s="268"/>
      <c r="I329" s="268"/>
      <c r="J329" s="268"/>
      <c r="K329" s="268"/>
      <c r="L329" s="268"/>
      <c r="M329" s="268"/>
      <c r="N329" s="268"/>
      <c r="O329" s="268"/>
      <c r="P329" s="1"/>
      <c r="T329" s="14"/>
      <c r="U329" s="1"/>
      <c r="V329" s="1"/>
      <c r="W329" s="1"/>
      <c r="X329" s="1"/>
      <c r="Y329" s="1"/>
      <c r="Z329" s="1"/>
      <c r="AA329" s="1"/>
      <c r="AB329" s="1"/>
      <c r="AC329" s="1"/>
      <c r="AD329" s="1"/>
      <c r="AE329" s="13"/>
    </row>
    <row r="330" spans="1:31" ht="16.5" hidden="1" customHeight="1">
      <c r="B330" s="103"/>
      <c r="C330" s="529" t="s">
        <v>398</v>
      </c>
      <c r="D330" s="529"/>
      <c r="E330" s="529"/>
      <c r="F330" s="529"/>
      <c r="G330" s="529"/>
      <c r="H330" s="529"/>
      <c r="I330" s="529"/>
      <c r="J330" s="529"/>
      <c r="K330" s="529"/>
      <c r="L330" s="529"/>
      <c r="M330" s="529"/>
      <c r="N330" s="529"/>
      <c r="O330" s="529"/>
      <c r="P330" s="1"/>
      <c r="T330" s="14"/>
      <c r="U330" s="1"/>
      <c r="V330" s="1"/>
      <c r="W330" s="1"/>
      <c r="X330" s="1"/>
      <c r="Y330" s="1"/>
      <c r="Z330" s="1"/>
      <c r="AA330" s="1"/>
      <c r="AB330" s="1"/>
      <c r="AC330" s="1"/>
      <c r="AD330" s="1"/>
      <c r="AE330" s="13"/>
    </row>
    <row r="331" spans="1:31" ht="16.5" hidden="1" customHeight="1">
      <c r="B331" s="103"/>
      <c r="C331" s="529"/>
      <c r="D331" s="529"/>
      <c r="E331" s="529"/>
      <c r="F331" s="529"/>
      <c r="G331" s="529"/>
      <c r="H331" s="529"/>
      <c r="I331" s="529"/>
      <c r="J331" s="529"/>
      <c r="K331" s="529"/>
      <c r="L331" s="529"/>
      <c r="M331" s="529"/>
      <c r="N331" s="529"/>
      <c r="O331" s="529"/>
      <c r="P331" s="1"/>
      <c r="T331" s="14"/>
      <c r="U331" s="1"/>
      <c r="V331" s="1"/>
      <c r="W331" s="1"/>
      <c r="X331" s="1"/>
      <c r="Y331" s="1"/>
      <c r="Z331" s="1"/>
      <c r="AA331" s="1"/>
      <c r="AB331" s="1"/>
      <c r="AC331" s="1"/>
      <c r="AD331" s="1"/>
      <c r="AE331" s="13"/>
    </row>
    <row r="332" spans="1:31" ht="16.5" hidden="1" customHeight="1">
      <c r="B332" s="103"/>
      <c r="C332" s="529"/>
      <c r="D332" s="529"/>
      <c r="E332" s="529"/>
      <c r="F332" s="529"/>
      <c r="G332" s="529"/>
      <c r="H332" s="529"/>
      <c r="I332" s="529"/>
      <c r="J332" s="529"/>
      <c r="K332" s="529"/>
      <c r="L332" s="529"/>
      <c r="M332" s="529"/>
      <c r="N332" s="529"/>
      <c r="O332" s="529"/>
      <c r="P332" s="1"/>
      <c r="T332" s="14"/>
      <c r="U332" s="1"/>
      <c r="V332" s="1"/>
      <c r="W332" s="1"/>
      <c r="X332" s="1"/>
      <c r="Y332" s="1"/>
      <c r="Z332" s="1"/>
      <c r="AA332" s="1"/>
      <c r="AB332" s="1"/>
      <c r="AC332" s="1"/>
      <c r="AD332" s="1"/>
      <c r="AE332" s="13"/>
    </row>
    <row r="333" spans="1:31" ht="16.5" hidden="1" customHeight="1">
      <c r="B333" s="173"/>
      <c r="C333" s="529"/>
      <c r="D333" s="529"/>
      <c r="E333" s="529"/>
      <c r="F333" s="529"/>
      <c r="G333" s="529"/>
      <c r="H333" s="529"/>
      <c r="I333" s="529"/>
      <c r="J333" s="529"/>
      <c r="K333" s="529"/>
      <c r="L333" s="529"/>
      <c r="M333" s="529"/>
      <c r="N333" s="529"/>
      <c r="O333" s="529"/>
      <c r="P333" s="1"/>
      <c r="T333" s="14"/>
      <c r="U333" s="1"/>
      <c r="V333" s="1"/>
      <c r="W333" s="1"/>
      <c r="X333" s="1"/>
      <c r="Y333" s="1"/>
      <c r="Z333" s="1"/>
      <c r="AA333" s="1"/>
      <c r="AB333" s="1"/>
      <c r="AC333" s="1"/>
      <c r="AD333" s="1"/>
      <c r="AE333" s="13"/>
    </row>
    <row r="334" spans="1:31" ht="16.5" hidden="1" customHeight="1">
      <c r="B334" s="173"/>
      <c r="C334" s="274"/>
      <c r="D334" s="270"/>
      <c r="E334" s="523"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523"/>
      <c r="G334" s="523"/>
      <c r="H334" s="523"/>
      <c r="I334" s="523"/>
      <c r="J334" s="523"/>
      <c r="K334" s="523"/>
      <c r="L334" s="523"/>
      <c r="M334" s="523"/>
      <c r="N334" s="523"/>
      <c r="O334" s="523"/>
      <c r="P334" s="1"/>
      <c r="T334" s="14"/>
      <c r="U334" s="502" t="s">
        <v>82</v>
      </c>
      <c r="V334" s="502"/>
      <c r="W334" s="502"/>
      <c r="X334" s="502"/>
      <c r="Y334" s="502"/>
      <c r="Z334" s="68"/>
      <c r="AA334" s="1"/>
      <c r="AB334" s="1">
        <f>IFERROR(IF(AB301="Non",0,IF(OR(AND(AB304&lt;0.5,AB318=TRUE),(AB304&gt;=0.5)),IF(AB303&gt;Annexes!O5,Annexes!O5,ROUND(AB303,0)),0)),0)</f>
        <v>0</v>
      </c>
      <c r="AC334" s="1"/>
      <c r="AD334" s="1"/>
      <c r="AE334" s="13"/>
    </row>
    <row r="335" spans="1:31" ht="15" hidden="1" customHeight="1">
      <c r="B335" s="173"/>
      <c r="C335" s="274"/>
      <c r="D335" s="270"/>
      <c r="E335" s="523"/>
      <c r="F335" s="523"/>
      <c r="G335" s="523"/>
      <c r="H335" s="523"/>
      <c r="I335" s="523"/>
      <c r="J335" s="523"/>
      <c r="K335" s="523"/>
      <c r="L335" s="523"/>
      <c r="M335" s="523"/>
      <c r="N335" s="523"/>
      <c r="O335" s="523"/>
      <c r="P335" s="1"/>
      <c r="T335" s="14"/>
      <c r="U335" s="502" t="s">
        <v>81</v>
      </c>
      <c r="V335" s="502"/>
      <c r="W335" s="502"/>
      <c r="X335" s="502"/>
      <c r="Y335" s="502"/>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hidden="1" customHeight="1">
      <c r="B336" s="173"/>
      <c r="C336" s="274"/>
      <c r="D336" s="270"/>
      <c r="E336" s="523"/>
      <c r="F336" s="523"/>
      <c r="G336" s="523"/>
      <c r="H336" s="523"/>
      <c r="I336" s="523"/>
      <c r="J336" s="523"/>
      <c r="K336" s="523"/>
      <c r="L336" s="523"/>
      <c r="M336" s="523"/>
      <c r="N336" s="523"/>
      <c r="O336" s="523"/>
      <c r="P336" s="1"/>
      <c r="T336" s="14"/>
      <c r="U336" s="502" t="s">
        <v>399</v>
      </c>
      <c r="V336" s="502"/>
      <c r="W336" s="502"/>
      <c r="X336" s="502"/>
      <c r="Y336" s="502"/>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hidden="1" customHeight="1">
      <c r="B337" s="173"/>
      <c r="C337" s="274"/>
      <c r="D337" s="417"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417"/>
      <c r="F337" s="417"/>
      <c r="G337" s="417"/>
      <c r="H337" s="417"/>
      <c r="I337" s="417"/>
      <c r="J337" s="417"/>
      <c r="K337" s="417"/>
      <c r="L337" s="417"/>
      <c r="M337" s="417"/>
      <c r="N337" s="417"/>
      <c r="O337" s="417"/>
      <c r="P337" s="268"/>
      <c r="Q337" s="268"/>
      <c r="T337" s="14"/>
      <c r="U337" s="1"/>
      <c r="V337" s="1"/>
      <c r="W337" s="1"/>
      <c r="X337" s="1"/>
      <c r="Y337" s="1"/>
      <c r="Z337" s="1"/>
      <c r="AA337" s="1"/>
      <c r="AB337" s="1"/>
      <c r="AC337" s="1"/>
      <c r="AD337" s="1"/>
      <c r="AE337" s="13"/>
    </row>
    <row r="338" spans="2:31" ht="16.5" hidden="1" customHeight="1">
      <c r="B338" s="173"/>
      <c r="C338" s="294"/>
      <c r="D338" s="52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524"/>
      <c r="F338" s="524"/>
      <c r="G338" s="524"/>
      <c r="H338" s="524"/>
      <c r="I338" s="524"/>
      <c r="J338" s="524"/>
      <c r="K338" s="524"/>
      <c r="L338" s="524"/>
      <c r="M338" s="524"/>
      <c r="N338" s="524"/>
      <c r="O338" s="524"/>
      <c r="P338" s="287"/>
      <c r="Q338" s="287"/>
      <c r="T338" s="14"/>
      <c r="U338" s="1"/>
      <c r="V338" s="1"/>
      <c r="W338" s="1"/>
      <c r="X338" s="1"/>
      <c r="Y338" s="1"/>
      <c r="Z338" s="1"/>
      <c r="AA338" s="1"/>
      <c r="AB338" s="1"/>
      <c r="AC338" s="1"/>
      <c r="AD338" s="1"/>
      <c r="AE338" s="13"/>
    </row>
    <row r="339" spans="2:31" ht="16.5" hidden="1" customHeight="1">
      <c r="B339" s="173"/>
      <c r="C339" s="294"/>
      <c r="D339" s="524"/>
      <c r="E339" s="524"/>
      <c r="F339" s="524"/>
      <c r="G339" s="524"/>
      <c r="H339" s="524"/>
      <c r="I339" s="524"/>
      <c r="J339" s="524"/>
      <c r="K339" s="524"/>
      <c r="L339" s="524"/>
      <c r="M339" s="524"/>
      <c r="N339" s="524"/>
      <c r="O339" s="524"/>
      <c r="P339" s="287"/>
      <c r="Q339" s="287"/>
      <c r="T339" s="14"/>
      <c r="U339" s="1"/>
      <c r="V339" s="1"/>
      <c r="W339" s="1"/>
      <c r="X339" s="1"/>
      <c r="Y339" s="1"/>
      <c r="Z339" s="1"/>
      <c r="AA339" s="1"/>
      <c r="AB339" s="1"/>
      <c r="AC339" s="1"/>
      <c r="AD339" s="1"/>
      <c r="AE339" s="13"/>
    </row>
    <row r="340" spans="2:31" ht="16.5" hidden="1" customHeight="1">
      <c r="B340" s="103"/>
      <c r="C340" s="274"/>
      <c r="D340" s="523"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523"/>
      <c r="F340" s="523"/>
      <c r="G340" s="523"/>
      <c r="H340" s="523"/>
      <c r="I340" s="523"/>
      <c r="J340" s="523"/>
      <c r="K340" s="523"/>
      <c r="L340" s="523"/>
      <c r="M340" s="523"/>
      <c r="N340" s="523"/>
      <c r="O340" s="523"/>
      <c r="P340" s="268"/>
      <c r="Q340" s="268"/>
      <c r="T340" s="14"/>
      <c r="U340" s="1"/>
      <c r="V340" s="1"/>
      <c r="W340" s="1"/>
      <c r="X340" s="1"/>
      <c r="Y340" s="1"/>
      <c r="Z340" s="1"/>
      <c r="AA340" s="1"/>
      <c r="AB340" s="1"/>
      <c r="AC340" s="1"/>
      <c r="AD340" s="1"/>
      <c r="AE340" s="13"/>
    </row>
    <row r="341" spans="2:31" ht="16.5" hidden="1" customHeight="1">
      <c r="B341" s="168"/>
      <c r="C341" s="274"/>
      <c r="D341" s="523"/>
      <c r="E341" s="523"/>
      <c r="F341" s="523"/>
      <c r="G341" s="523"/>
      <c r="H341" s="523"/>
      <c r="I341" s="523"/>
      <c r="J341" s="523"/>
      <c r="K341" s="523"/>
      <c r="L341" s="523"/>
      <c r="M341" s="523"/>
      <c r="N341" s="523"/>
      <c r="O341" s="523"/>
      <c r="P341" s="268"/>
      <c r="Q341" s="268"/>
      <c r="T341" s="14"/>
      <c r="U341" s="1"/>
      <c r="V341" s="1"/>
      <c r="W341" s="1"/>
      <c r="X341" s="1"/>
      <c r="Y341" s="1"/>
      <c r="Z341" s="1"/>
      <c r="AA341" s="1"/>
      <c r="AB341" s="1"/>
      <c r="AC341" s="1"/>
      <c r="AD341" s="1"/>
      <c r="AE341" s="13"/>
    </row>
    <row r="342" spans="2:31" ht="16.5" hidden="1" customHeight="1" thickBot="1">
      <c r="B342" s="168"/>
      <c r="C342" s="274"/>
      <c r="D342" s="205"/>
      <c r="E342" s="268"/>
      <c r="F342" s="268"/>
      <c r="G342" s="268"/>
      <c r="H342" s="268"/>
      <c r="I342" s="268"/>
      <c r="J342" s="268"/>
      <c r="K342" s="268"/>
      <c r="L342" s="268"/>
      <c r="M342" s="268"/>
      <c r="N342" s="268"/>
      <c r="O342" s="268"/>
      <c r="P342" s="268"/>
      <c r="Q342" s="268"/>
      <c r="T342" s="14"/>
      <c r="U342" s="1"/>
      <c r="V342" s="1"/>
      <c r="W342" s="1"/>
      <c r="X342" s="1"/>
      <c r="Y342" s="1"/>
      <c r="Z342" s="1"/>
      <c r="AA342" s="1"/>
      <c r="AB342" s="1"/>
      <c r="AC342" s="1"/>
      <c r="AD342" s="1"/>
      <c r="AE342" s="13"/>
    </row>
    <row r="343" spans="2:31" ht="16.5" hidden="1" customHeight="1">
      <c r="B343" s="103"/>
      <c r="C343" s="180"/>
      <c r="D343" s="527"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509"/>
      <c r="F343" s="509"/>
      <c r="G343" s="509"/>
      <c r="H343" s="509"/>
      <c r="I343" s="509"/>
      <c r="J343" s="509"/>
      <c r="K343" s="509"/>
      <c r="L343" s="509"/>
      <c r="M343" s="509"/>
      <c r="N343" s="509"/>
      <c r="O343" s="510"/>
      <c r="P343" s="268"/>
      <c r="Q343" s="268"/>
      <c r="T343" s="14"/>
      <c r="U343" s="1"/>
      <c r="V343" s="1"/>
      <c r="W343" s="1"/>
      <c r="X343" s="1"/>
      <c r="Y343" s="1"/>
      <c r="Z343" s="1"/>
      <c r="AA343" s="1"/>
      <c r="AB343" s="1"/>
      <c r="AC343" s="1"/>
      <c r="AD343" s="1"/>
      <c r="AE343" s="13"/>
    </row>
    <row r="344" spans="2:31" ht="16.5" hidden="1" customHeight="1">
      <c r="B344" s="103"/>
      <c r="C344" s="180"/>
      <c r="D344" s="511"/>
      <c r="E344" s="512"/>
      <c r="F344" s="512"/>
      <c r="G344" s="512"/>
      <c r="H344" s="512"/>
      <c r="I344" s="512"/>
      <c r="J344" s="512"/>
      <c r="K344" s="512"/>
      <c r="L344" s="512"/>
      <c r="M344" s="512"/>
      <c r="N344" s="512"/>
      <c r="O344" s="513"/>
      <c r="P344" s="268"/>
      <c r="Q344" s="268"/>
      <c r="T344" s="14"/>
      <c r="U344" s="1"/>
      <c r="V344" s="1"/>
      <c r="W344" s="1"/>
      <c r="X344" s="1"/>
      <c r="Y344" s="1"/>
      <c r="Z344" s="1"/>
      <c r="AA344" s="1"/>
      <c r="AB344" s="1"/>
      <c r="AC344" s="1"/>
      <c r="AD344" s="1"/>
      <c r="AE344" s="13"/>
    </row>
    <row r="345" spans="2:31" ht="16.5" hidden="1" customHeight="1">
      <c r="B345" s="103"/>
      <c r="C345" s="180"/>
      <c r="D345" s="511"/>
      <c r="E345" s="512"/>
      <c r="F345" s="512"/>
      <c r="G345" s="512"/>
      <c r="H345" s="512"/>
      <c r="I345" s="512"/>
      <c r="J345" s="512"/>
      <c r="K345" s="512"/>
      <c r="L345" s="512"/>
      <c r="M345" s="512"/>
      <c r="N345" s="512"/>
      <c r="O345" s="513"/>
      <c r="P345" s="175"/>
      <c r="Q345" s="175"/>
      <c r="T345" s="14"/>
      <c r="U345" s="1"/>
      <c r="V345" s="1"/>
      <c r="W345" s="1"/>
      <c r="X345" s="1"/>
      <c r="Y345" s="1"/>
      <c r="Z345" s="1"/>
      <c r="AA345" s="1"/>
      <c r="AB345" s="1"/>
      <c r="AC345" s="1"/>
      <c r="AD345" s="1"/>
      <c r="AE345" s="13"/>
    </row>
    <row r="346" spans="2:31" ht="16.5" hidden="1" customHeight="1" thickBot="1">
      <c r="B346" s="103"/>
      <c r="C346" s="180"/>
      <c r="D346" s="514"/>
      <c r="E346" s="515"/>
      <c r="F346" s="515"/>
      <c r="G346" s="515"/>
      <c r="H346" s="515"/>
      <c r="I346" s="515"/>
      <c r="J346" s="515"/>
      <c r="K346" s="515"/>
      <c r="L346" s="515"/>
      <c r="M346" s="515"/>
      <c r="N346" s="515"/>
      <c r="O346" s="516"/>
      <c r="T346" s="14"/>
      <c r="U346" s="1"/>
      <c r="V346" s="1"/>
      <c r="W346" s="1"/>
      <c r="X346" s="1"/>
      <c r="Y346" s="1"/>
      <c r="Z346" s="1"/>
      <c r="AA346" s="1"/>
      <c r="AB346" s="1"/>
      <c r="AC346" s="1"/>
      <c r="AD346" s="1"/>
      <c r="AE346" s="13"/>
    </row>
    <row r="347" spans="2:31" ht="16.5" hidden="1" customHeight="1">
      <c r="B347" s="103"/>
      <c r="C347" s="318"/>
      <c r="D347" s="563" t="str">
        <f>IF(AND(AB318=TRUE,AB317=FALSE,AB303&gt;1500),"L'aide est plafonné à 1 500 €, Si l'entreprise a subi une perte de moins de 50 % sur la période en comprenant le CA réalisé sur les activités de vente à distance avec retrait en magasin ou livraison sont à prendre en compte pour le calcul de la perte","")</f>
        <v/>
      </c>
      <c r="E347" s="563"/>
      <c r="F347" s="563"/>
      <c r="G347" s="563"/>
      <c r="H347" s="563"/>
      <c r="I347" s="563"/>
      <c r="J347" s="563"/>
      <c r="K347" s="563"/>
      <c r="L347" s="563"/>
      <c r="M347" s="563"/>
      <c r="N347" s="563"/>
      <c r="O347" s="563"/>
      <c r="T347" s="14"/>
      <c r="U347" s="1"/>
      <c r="V347" s="1"/>
      <c r="W347" s="1"/>
      <c r="X347" s="1"/>
      <c r="Y347" s="1"/>
      <c r="Z347" s="1"/>
      <c r="AA347" s="1"/>
      <c r="AB347" s="1"/>
      <c r="AC347" s="1"/>
      <c r="AD347" s="1"/>
      <c r="AE347" s="13"/>
    </row>
    <row r="348" spans="2:31" ht="16.5" hidden="1" customHeight="1">
      <c r="B348" s="103"/>
      <c r="C348" s="318"/>
      <c r="D348" s="563"/>
      <c r="E348" s="563"/>
      <c r="F348" s="563"/>
      <c r="G348" s="563"/>
      <c r="H348" s="563"/>
      <c r="I348" s="563"/>
      <c r="J348" s="563"/>
      <c r="K348" s="563"/>
      <c r="L348" s="563"/>
      <c r="M348" s="563"/>
      <c r="N348" s="563"/>
      <c r="O348" s="563"/>
      <c r="T348" s="14"/>
      <c r="U348" s="1"/>
      <c r="V348" s="1"/>
      <c r="W348" s="1"/>
      <c r="X348" s="1"/>
      <c r="Y348" s="1"/>
      <c r="Z348" s="1"/>
      <c r="AA348" s="1"/>
      <c r="AB348" s="1"/>
      <c r="AC348" s="1"/>
      <c r="AD348" s="1"/>
      <c r="AE348" s="13"/>
    </row>
    <row r="349" spans="2:31" ht="16.5" customHeight="1">
      <c r="B349" s="5"/>
      <c r="C349" s="5"/>
      <c r="D349" s="254"/>
      <c r="E349" s="254"/>
      <c r="F349" s="254"/>
      <c r="G349" s="254"/>
      <c r="H349" s="254"/>
      <c r="I349" s="254"/>
      <c r="J349" s="254"/>
      <c r="K349" s="254"/>
      <c r="L349" s="254"/>
      <c r="M349" s="254"/>
      <c r="N349" s="254"/>
      <c r="O349" s="254"/>
      <c r="P349" s="177"/>
      <c r="Q349" s="177"/>
      <c r="T349" s="14"/>
      <c r="U349" s="1"/>
      <c r="V349" s="1"/>
      <c r="W349" s="1"/>
      <c r="X349" s="1"/>
      <c r="Y349" s="1"/>
      <c r="Z349" s="1"/>
      <c r="AA349" s="1"/>
      <c r="AB349" s="1"/>
      <c r="AC349" s="1"/>
      <c r="AD349" s="1"/>
      <c r="AE349" s="13"/>
    </row>
    <row r="350" spans="2:31" ht="16.5" thickBot="1">
      <c r="B350" s="220"/>
      <c r="C350" s="488" t="s">
        <v>434</v>
      </c>
      <c r="D350" s="488"/>
      <c r="E350" s="488"/>
      <c r="F350" s="488"/>
      <c r="G350" s="488"/>
      <c r="H350" s="488"/>
      <c r="I350" s="221"/>
      <c r="J350" s="221"/>
      <c r="K350" s="221"/>
      <c r="L350" s="221"/>
      <c r="M350" s="221"/>
      <c r="N350" s="221"/>
      <c r="O350" s="221"/>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customHeight="1">
      <c r="B352" s="103"/>
      <c r="C352" s="489" t="s">
        <v>441</v>
      </c>
      <c r="D352" s="489"/>
      <c r="E352" s="489"/>
      <c r="F352" s="489"/>
      <c r="G352" s="489"/>
      <c r="H352" s="489"/>
      <c r="I352" s="489"/>
      <c r="J352" s="489"/>
      <c r="K352" s="489"/>
      <c r="L352" s="489"/>
      <c r="M352" s="489"/>
      <c r="N352" s="489"/>
      <c r="O352" s="489"/>
      <c r="P352" s="1"/>
      <c r="T352" s="25"/>
      <c r="U352" s="490" t="s">
        <v>20</v>
      </c>
      <c r="V352" s="490"/>
      <c r="W352" s="490"/>
      <c r="X352" s="1"/>
      <c r="Y352" s="307" t="s">
        <v>6</v>
      </c>
      <c r="Z352" s="307"/>
      <c r="AA352" s="307"/>
      <c r="AB352" s="307" t="s">
        <v>23</v>
      </c>
      <c r="AC352" s="307"/>
      <c r="AD352" s="307"/>
      <c r="AE352" s="26" t="s">
        <v>24</v>
      </c>
    </row>
    <row r="353" spans="2:31" ht="15.75" customHeight="1">
      <c r="B353" s="103"/>
      <c r="C353" s="301"/>
      <c r="D353" s="60" t="s">
        <v>435</v>
      </c>
      <c r="E353" s="301"/>
      <c r="F353" s="301"/>
      <c r="G353" s="301"/>
      <c r="H353" s="301"/>
      <c r="I353" s="301"/>
      <c r="J353" s="301"/>
      <c r="K353" s="301"/>
      <c r="L353" s="301"/>
      <c r="M353" s="301"/>
      <c r="N353" s="301"/>
      <c r="O353" s="301"/>
      <c r="P353" s="1"/>
      <c r="T353" s="25"/>
      <c r="U353" s="307"/>
      <c r="V353" s="307"/>
      <c r="W353" s="307"/>
      <c r="X353" s="1"/>
      <c r="Y353" s="307"/>
      <c r="Z353" s="307"/>
      <c r="AA353" s="307"/>
      <c r="AB353" s="307"/>
      <c r="AC353" s="307"/>
      <c r="AD353" s="307"/>
      <c r="AE353" s="26"/>
    </row>
    <row r="354" spans="2:31" ht="16.5" thickBot="1">
      <c r="B354" s="103"/>
      <c r="C354" s="301"/>
      <c r="D354" s="60"/>
      <c r="E354" s="301"/>
      <c r="F354" s="301"/>
      <c r="G354" s="301"/>
      <c r="H354" s="301"/>
      <c r="I354" s="301"/>
      <c r="J354" s="301"/>
      <c r="K354" s="301"/>
      <c r="L354" s="301"/>
      <c r="M354" s="301"/>
      <c r="N354" s="301"/>
      <c r="O354" s="301"/>
      <c r="P354" s="1"/>
      <c r="T354" s="491" t="s">
        <v>444</v>
      </c>
      <c r="U354" s="490"/>
      <c r="V354" s="490"/>
      <c r="W354" s="490"/>
      <c r="X354" s="1"/>
      <c r="Y354" s="7">
        <f>'Mon Entreprise'!I128</f>
        <v>0</v>
      </c>
      <c r="Z354" s="133"/>
      <c r="AA354" s="21"/>
      <c r="AB354" s="7">
        <f>IF('Mon Entreprise'!I128-'Mon Entreprise'!M128&lt;0,0,'Mon Entreprise'!I128-'Mon Entreprise'!M128)</f>
        <v>0</v>
      </c>
      <c r="AC354" s="13"/>
      <c r="AD354" s="1"/>
      <c r="AE354" s="27">
        <f>IFERROR(1-'Mon Entreprise'!M128/'Mon Entreprise'!I128,0)</f>
        <v>0</v>
      </c>
    </row>
    <row r="355" spans="2:31" ht="15.75">
      <c r="B355" s="103"/>
      <c r="C355" s="301"/>
      <c r="D355" s="492"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93"/>
      <c r="F355" s="493"/>
      <c r="G355" s="493"/>
      <c r="H355" s="493"/>
      <c r="I355" s="493"/>
      <c r="J355" s="493"/>
      <c r="K355" s="493"/>
      <c r="L355" s="493"/>
      <c r="M355" s="493"/>
      <c r="N355" s="493"/>
      <c r="O355" s="494"/>
      <c r="P355" s="1"/>
      <c r="T355" s="491" t="s">
        <v>25</v>
      </c>
      <c r="U355" s="490"/>
      <c r="V355" s="490"/>
      <c r="W355" s="490"/>
      <c r="X355" s="1"/>
      <c r="Y355" s="7">
        <f>'Mon Entreprise'!I98</f>
        <v>0</v>
      </c>
      <c r="Z355" s="133"/>
      <c r="AA355" s="21"/>
      <c r="AB355" s="7">
        <f>IF('Mon Entreprise'!I98-'Mon Entreprise'!M128&lt;0,0,'Mon Entreprise'!I98-'Mon Entreprise'!M128)</f>
        <v>0</v>
      </c>
      <c r="AC355" s="36"/>
      <c r="AD355" s="1"/>
      <c r="AE355" s="27">
        <f>IFERROR(1-'Mon Entreprise'!M128/'Mon Entreprise'!I98,0)</f>
        <v>0</v>
      </c>
    </row>
    <row r="356" spans="2:31" ht="15.75" customHeight="1">
      <c r="B356" s="103"/>
      <c r="C356" s="301"/>
      <c r="D356" s="495"/>
      <c r="E356" s="496"/>
      <c r="F356" s="496"/>
      <c r="G356" s="496"/>
      <c r="H356" s="496"/>
      <c r="I356" s="496"/>
      <c r="J356" s="496"/>
      <c r="K356" s="496"/>
      <c r="L356" s="496"/>
      <c r="M356" s="496"/>
      <c r="N356" s="496"/>
      <c r="O356" s="497"/>
      <c r="P356" s="1"/>
      <c r="T356" s="501" t="s">
        <v>22</v>
      </c>
      <c r="U356" s="502"/>
      <c r="V356" s="502"/>
      <c r="W356" s="502"/>
      <c r="X356" s="139"/>
      <c r="Y356" s="140" t="str">
        <f>IF('Mon Entreprise'!I148="","NC",'Mon Entreprise'!I148)</f>
        <v>NC</v>
      </c>
      <c r="Z356" s="191"/>
      <c r="AA356" s="192"/>
      <c r="AB356" s="143" t="str">
        <f>IFERROR(IF('Mon Entreprise'!I148-'Mon Entreprise'!M128&lt;0,0,'Mon Entreprise'!I148-'Mon Entreprise'!M128),"NC")</f>
        <v>NC</v>
      </c>
      <c r="AC356" s="193"/>
      <c r="AD356" s="139"/>
      <c r="AE356" s="146" t="str">
        <f>IFERROR(1-'Mon Entreprise'!M128/'Mon Entreprise'!I148,"NC")</f>
        <v>NC</v>
      </c>
    </row>
    <row r="357" spans="2:31" ht="15.75" customHeight="1">
      <c r="B357" s="103"/>
      <c r="C357" s="301"/>
      <c r="D357" s="495"/>
      <c r="E357" s="496"/>
      <c r="F357" s="496"/>
      <c r="G357" s="496"/>
      <c r="H357" s="496"/>
      <c r="I357" s="496"/>
      <c r="J357" s="496"/>
      <c r="K357" s="496"/>
      <c r="L357" s="496"/>
      <c r="M357" s="496"/>
      <c r="N357" s="496"/>
      <c r="O357" s="497"/>
      <c r="P357" s="1"/>
      <c r="T357" s="302"/>
      <c r="U357" s="303"/>
      <c r="V357" s="303"/>
      <c r="W357" s="303"/>
      <c r="X357" s="139"/>
      <c r="Y357" s="140"/>
      <c r="Z357" s="141"/>
      <c r="AA357" s="192"/>
      <c r="AB357" s="143"/>
      <c r="AC357" s="303"/>
      <c r="AD357" s="139"/>
      <c r="AE357" s="146"/>
    </row>
    <row r="358" spans="2:31" ht="15.75" customHeight="1">
      <c r="B358" s="103"/>
      <c r="C358" s="301"/>
      <c r="D358" s="495"/>
      <c r="E358" s="496"/>
      <c r="F358" s="496"/>
      <c r="G358" s="496"/>
      <c r="H358" s="496"/>
      <c r="I358" s="496"/>
      <c r="J358" s="496"/>
      <c r="K358" s="496"/>
      <c r="L358" s="496"/>
      <c r="M358" s="496"/>
      <c r="N358" s="496"/>
      <c r="O358" s="497"/>
      <c r="P358" s="1"/>
      <c r="T358" s="14"/>
      <c r="U358" s="1"/>
      <c r="V358" s="1"/>
      <c r="W358" s="1"/>
      <c r="X358" s="1"/>
      <c r="Y358" s="1"/>
      <c r="Z358" s="1"/>
      <c r="AA358" s="1"/>
      <c r="AB358" s="1"/>
      <c r="AC358" s="1"/>
      <c r="AD358" s="1"/>
      <c r="AE358" s="13"/>
    </row>
    <row r="359" spans="2:31" ht="15.75" customHeight="1">
      <c r="B359" s="103"/>
      <c r="C359" s="301"/>
      <c r="D359" s="495"/>
      <c r="E359" s="496"/>
      <c r="F359" s="496"/>
      <c r="G359" s="496"/>
      <c r="H359" s="496"/>
      <c r="I359" s="496"/>
      <c r="J359" s="496"/>
      <c r="K359" s="496"/>
      <c r="L359" s="496"/>
      <c r="M359" s="496"/>
      <c r="N359" s="496"/>
      <c r="O359" s="497"/>
      <c r="P359" s="1"/>
      <c r="T359" s="14"/>
      <c r="AC359" s="1"/>
      <c r="AD359" s="1"/>
      <c r="AE359" s="13"/>
    </row>
    <row r="360" spans="2:31" ht="15.75" customHeight="1" thickBot="1">
      <c r="B360" s="103"/>
      <c r="C360" s="301"/>
      <c r="D360" s="498"/>
      <c r="E360" s="499"/>
      <c r="F360" s="499"/>
      <c r="G360" s="499"/>
      <c r="H360" s="499"/>
      <c r="I360" s="499"/>
      <c r="J360" s="499"/>
      <c r="K360" s="499"/>
      <c r="L360" s="499"/>
      <c r="M360" s="499"/>
      <c r="N360" s="499"/>
      <c r="O360" s="500"/>
      <c r="P360" s="1"/>
      <c r="T360" s="14"/>
      <c r="AC360" s="1"/>
      <c r="AD360" s="1"/>
      <c r="AE360" s="13"/>
    </row>
    <row r="361" spans="2:31" ht="16.5" customHeight="1">
      <c r="B361" s="103"/>
      <c r="C361" s="301"/>
      <c r="D361" s="330" t="s">
        <v>443</v>
      </c>
      <c r="E361" s="301"/>
      <c r="F361" s="301"/>
      <c r="G361" s="301"/>
      <c r="H361" s="301"/>
      <c r="I361" s="301"/>
      <c r="J361" s="301"/>
      <c r="K361" s="301"/>
      <c r="L361" s="301"/>
      <c r="M361" s="301"/>
      <c r="N361" s="301"/>
      <c r="O361" s="301"/>
      <c r="P361" s="1"/>
      <c r="T361" s="14"/>
      <c r="AC361" s="1"/>
      <c r="AD361" s="1"/>
      <c r="AE361" s="13"/>
    </row>
    <row r="362" spans="2:31" ht="15.75" hidden="1">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hidden="1">
      <c r="B363" s="103"/>
      <c r="C363" s="301"/>
      <c r="D363" s="60"/>
      <c r="E363" s="301"/>
      <c r="F363" s="301"/>
      <c r="G363" s="301"/>
      <c r="H363" s="301"/>
      <c r="I363" s="301"/>
      <c r="J363" s="301"/>
      <c r="K363" s="301"/>
      <c r="L363" s="301"/>
      <c r="M363" s="301"/>
      <c r="N363" s="301"/>
      <c r="O363" s="301"/>
      <c r="P363" s="1"/>
      <c r="T363" s="14"/>
      <c r="U363" s="1"/>
      <c r="V363" s="1"/>
      <c r="W363" s="1"/>
      <c r="X363" s="1"/>
      <c r="Y363" s="1"/>
      <c r="Z363" s="1"/>
      <c r="AA363" s="1"/>
      <c r="AB363" s="1"/>
      <c r="AC363" s="1"/>
      <c r="AD363" s="1"/>
      <c r="AE363" s="13"/>
    </row>
    <row r="364" spans="2:31" ht="15.75" hidden="1">
      <c r="B364" s="103"/>
      <c r="C364" s="301" t="s">
        <v>442</v>
      </c>
      <c r="D364" s="60"/>
      <c r="E364" s="301"/>
      <c r="F364" s="301"/>
      <c r="G364" s="301"/>
      <c r="H364" s="301"/>
      <c r="I364" s="301"/>
      <c r="J364" s="301"/>
      <c r="K364" s="301"/>
      <c r="L364" s="301"/>
      <c r="M364" s="301"/>
      <c r="N364" s="301"/>
      <c r="O364" s="301"/>
      <c r="P364" s="1"/>
      <c r="T364" s="14"/>
      <c r="U364" s="1"/>
      <c r="V364" s="1"/>
      <c r="W364" s="1"/>
      <c r="X364" s="1"/>
      <c r="Y364" s="1"/>
      <c r="Z364" s="1"/>
      <c r="AA364" s="1"/>
      <c r="AB364" s="1"/>
      <c r="AC364" s="1"/>
      <c r="AD364" s="1"/>
      <c r="AE364" s="13"/>
    </row>
    <row r="365" spans="2:31" ht="15.75" hidden="1">
      <c r="B365" s="103"/>
      <c r="C365" s="297" t="s">
        <v>436</v>
      </c>
      <c r="D365" s="60"/>
      <c r="E365" s="301"/>
      <c r="F365" s="301"/>
      <c r="G365" s="301"/>
      <c r="H365" s="301"/>
      <c r="I365" s="301"/>
      <c r="J365" s="301"/>
      <c r="K365" s="301"/>
      <c r="L365" s="301"/>
      <c r="M365" s="301"/>
      <c r="N365" s="301"/>
      <c r="O365" s="301"/>
      <c r="P365" s="1"/>
      <c r="T365" s="14"/>
      <c r="U365" s="506" t="s">
        <v>72</v>
      </c>
      <c r="V365" s="506"/>
      <c r="W365" s="506"/>
      <c r="X365" s="506"/>
      <c r="Y365" s="506"/>
      <c r="Z365" s="1"/>
      <c r="AA365" s="14"/>
      <c r="AB365" s="303" t="str">
        <f>IF('Mon Entreprise'!K8&lt;=Annexes!R15,"Oui","Non")</f>
        <v>Oui</v>
      </c>
      <c r="AC365" s="1"/>
      <c r="AD365" s="1"/>
      <c r="AE365" s="13"/>
    </row>
    <row r="366" spans="2:31" ht="15.75" hidden="1">
      <c r="B366" s="168"/>
      <c r="C366" s="301"/>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01"/>
      <c r="F366" s="301"/>
      <c r="G366" s="301"/>
      <c r="H366" s="301"/>
      <c r="I366" s="301"/>
      <c r="J366" s="301"/>
      <c r="K366" s="301"/>
      <c r="L366" s="301"/>
      <c r="M366" s="301"/>
      <c r="N366" s="301"/>
      <c r="O366" s="301"/>
      <c r="P366" s="1"/>
      <c r="T366" s="14"/>
      <c r="U366" s="299"/>
      <c r="V366" s="506" t="s">
        <v>393</v>
      </c>
      <c r="W366" s="506"/>
      <c r="X366" s="506"/>
      <c r="Y366" s="506"/>
      <c r="Z366" s="1"/>
      <c r="AA366" s="14"/>
      <c r="AB366" s="303">
        <f>IF('Mon Entreprise'!K8&gt;=Annexes!O20,IF(Y354&gt;=Y356,Y354,Y356),IF(Y354&gt;=Y355,Y354,Y355))</f>
        <v>0</v>
      </c>
      <c r="AC366" s="1"/>
      <c r="AD366" s="1"/>
      <c r="AE366" s="13"/>
    </row>
    <row r="367" spans="2:31" ht="15.75" hidden="1">
      <c r="B367" s="168"/>
      <c r="C367" s="301"/>
      <c r="D367" s="507"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507"/>
      <c r="F367" s="507"/>
      <c r="G367" s="507"/>
      <c r="H367" s="507"/>
      <c r="I367" s="507"/>
      <c r="J367" s="507"/>
      <c r="K367" s="507"/>
      <c r="L367" s="507"/>
      <c r="M367" s="507"/>
      <c r="N367" s="507"/>
      <c r="O367" s="507"/>
      <c r="P367" s="1"/>
      <c r="T367" s="14"/>
      <c r="U367" s="506" t="s">
        <v>84</v>
      </c>
      <c r="V367" s="506"/>
      <c r="W367" s="506"/>
      <c r="X367" s="506"/>
      <c r="Y367" s="506"/>
      <c r="Z367" s="1"/>
      <c r="AA367" s="14"/>
      <c r="AB367" s="300">
        <f>IF('Mon Entreprise'!K8&gt;=Annexes!O20,IF(AB354&gt;=AB356,AB354,AB356),IF(AB354&gt;=AB355,AB354,AB355))</f>
        <v>0</v>
      </c>
      <c r="AC367" s="1"/>
      <c r="AD367" s="1"/>
      <c r="AE367" s="13"/>
    </row>
    <row r="368" spans="2:31" ht="15.75" hidden="1">
      <c r="B368" s="168"/>
      <c r="C368" s="301"/>
      <c r="D368" s="507"/>
      <c r="E368" s="507"/>
      <c r="F368" s="507"/>
      <c r="G368" s="507"/>
      <c r="H368" s="507"/>
      <c r="I368" s="507"/>
      <c r="J368" s="507"/>
      <c r="K368" s="507"/>
      <c r="L368" s="507"/>
      <c r="M368" s="507"/>
      <c r="N368" s="507"/>
      <c r="O368" s="507"/>
      <c r="P368" s="1"/>
      <c r="T368" s="14"/>
      <c r="U368" s="506" t="s">
        <v>85</v>
      </c>
      <c r="V368" s="506"/>
      <c r="W368" s="506"/>
      <c r="X368" s="506"/>
      <c r="Y368" s="506"/>
      <c r="Z368" s="1"/>
      <c r="AA368" s="14"/>
      <c r="AB368" s="19">
        <f>IF('Mon Entreprise'!K8&gt;=Annexes!O20,IF(AB354&gt;=AB356,AE354,AE356),IF(AB354&gt;=AB355,AE354,AE355))</f>
        <v>0</v>
      </c>
      <c r="AC368" s="1"/>
      <c r="AD368" s="1"/>
      <c r="AE368" s="13"/>
    </row>
    <row r="369" spans="1:31" ht="16.5" hidden="1" thickBot="1">
      <c r="B369" s="103"/>
      <c r="C369" s="301"/>
      <c r="D369" s="60"/>
      <c r="E369" s="301"/>
      <c r="F369" s="301"/>
      <c r="G369" s="301"/>
      <c r="H369" s="301"/>
      <c r="I369" s="301"/>
      <c r="J369" s="301"/>
      <c r="K369" s="301"/>
      <c r="L369" s="301"/>
      <c r="M369" s="301"/>
      <c r="N369" s="301"/>
      <c r="O369" s="301"/>
      <c r="P369" s="1"/>
      <c r="T369" s="14"/>
      <c r="U369" s="1"/>
      <c r="V369" s="1"/>
      <c r="W369" s="1"/>
      <c r="X369" s="1"/>
      <c r="Y369" s="1"/>
      <c r="Z369" s="1"/>
      <c r="AA369" s="1"/>
      <c r="AB369" s="1"/>
      <c r="AC369" s="1"/>
      <c r="AD369" s="1"/>
      <c r="AE369" s="13"/>
    </row>
    <row r="370" spans="1:31" ht="15.75" hidden="1">
      <c r="B370" s="168"/>
      <c r="C370" s="301"/>
      <c r="D370" s="508"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509"/>
      <c r="F370" s="509"/>
      <c r="G370" s="509"/>
      <c r="H370" s="509"/>
      <c r="I370" s="509"/>
      <c r="J370" s="509"/>
      <c r="K370" s="509"/>
      <c r="L370" s="509"/>
      <c r="M370" s="509"/>
      <c r="N370" s="509"/>
      <c r="O370" s="510"/>
      <c r="P370" s="1"/>
      <c r="T370" s="14"/>
      <c r="U370" s="1"/>
      <c r="V370" s="1"/>
      <c r="W370" s="1"/>
      <c r="X370" s="1"/>
      <c r="Y370" s="1"/>
      <c r="Z370" s="1"/>
      <c r="AA370" s="1"/>
      <c r="AB370" s="1"/>
      <c r="AC370" s="1"/>
      <c r="AD370" s="1"/>
      <c r="AE370" s="13"/>
    </row>
    <row r="371" spans="1:31" ht="15.75" hidden="1" customHeight="1">
      <c r="B371" s="168"/>
      <c r="C371" s="301"/>
      <c r="D371" s="511"/>
      <c r="E371" s="512"/>
      <c r="F371" s="512"/>
      <c r="G371" s="512"/>
      <c r="H371" s="512"/>
      <c r="I371" s="512"/>
      <c r="J371" s="512"/>
      <c r="K371" s="512"/>
      <c r="L371" s="512"/>
      <c r="M371" s="512"/>
      <c r="N371" s="512"/>
      <c r="O371" s="513"/>
      <c r="P371" s="1"/>
      <c r="T371" s="14"/>
      <c r="U371" s="1"/>
      <c r="V371" s="1"/>
      <c r="W371" s="1"/>
      <c r="X371" s="1"/>
      <c r="Y371" s="1"/>
      <c r="Z371" s="1"/>
      <c r="AA371" s="1"/>
      <c r="AB371" s="1"/>
      <c r="AC371" s="1"/>
      <c r="AD371" s="1"/>
      <c r="AE371" s="13"/>
    </row>
    <row r="372" spans="1:31" ht="15.75" hidden="1" customHeight="1">
      <c r="B372" s="103"/>
      <c r="C372" s="301"/>
      <c r="D372" s="511"/>
      <c r="E372" s="512"/>
      <c r="F372" s="512"/>
      <c r="G372" s="512"/>
      <c r="H372" s="512"/>
      <c r="I372" s="512"/>
      <c r="J372" s="512"/>
      <c r="K372" s="512"/>
      <c r="L372" s="512"/>
      <c r="M372" s="512"/>
      <c r="N372" s="512"/>
      <c r="O372" s="513"/>
      <c r="P372" s="1"/>
      <c r="T372" s="14"/>
      <c r="U372" s="1"/>
      <c r="V372" s="1"/>
      <c r="W372" s="1"/>
      <c r="X372" s="1"/>
      <c r="Y372" s="1"/>
      <c r="Z372" s="1"/>
      <c r="AA372" s="1"/>
      <c r="AB372" s="1"/>
      <c r="AC372" s="1"/>
      <c r="AD372" s="1"/>
      <c r="AE372" s="13"/>
    </row>
    <row r="373" spans="1:31" ht="15.75" hidden="1" customHeight="1" thickBot="1">
      <c r="B373" s="103"/>
      <c r="C373" s="301"/>
      <c r="D373" s="514"/>
      <c r="E373" s="515"/>
      <c r="F373" s="515"/>
      <c r="G373" s="515"/>
      <c r="H373" s="515"/>
      <c r="I373" s="515"/>
      <c r="J373" s="515"/>
      <c r="K373" s="515"/>
      <c r="L373" s="515"/>
      <c r="M373" s="515"/>
      <c r="N373" s="515"/>
      <c r="O373" s="516"/>
      <c r="P373" s="1"/>
      <c r="T373" s="14"/>
      <c r="U373" s="1"/>
      <c r="V373" s="1"/>
      <c r="W373" s="1"/>
      <c r="X373" s="1"/>
      <c r="Y373" s="1"/>
      <c r="Z373" s="1"/>
      <c r="AA373" s="1"/>
      <c r="AB373" s="1"/>
      <c r="AC373" s="1"/>
      <c r="AD373" s="1"/>
      <c r="AE373" s="13"/>
    </row>
    <row r="374" spans="1:31" ht="16.5" hidden="1" customHeight="1">
      <c r="B374" s="103"/>
      <c r="C374" s="169"/>
      <c r="D374" s="517"/>
      <c r="E374" s="517"/>
      <c r="F374" s="517"/>
      <c r="G374" s="517"/>
      <c r="H374" s="517"/>
      <c r="I374" s="517"/>
      <c r="J374" s="517"/>
      <c r="K374" s="517"/>
      <c r="L374" s="517"/>
      <c r="M374" s="517"/>
      <c r="N374" s="517"/>
      <c r="O374" s="517"/>
      <c r="P374" s="1"/>
      <c r="T374" s="518" t="s">
        <v>4</v>
      </c>
      <c r="U374" s="519"/>
      <c r="V374" s="519"/>
      <c r="W374" s="519"/>
      <c r="X374" s="519"/>
      <c r="Y374" s="519"/>
      <c r="Z374" s="139"/>
      <c r="AA374" s="145"/>
      <c r="AB374" s="194">
        <f>IFERROR(IF('Mon Entreprise'!K8&gt;=Annexes!Q18,0,1-'Mon Entreprise'!M118/2/AB366),0)</f>
        <v>0</v>
      </c>
      <c r="AC374" s="1"/>
      <c r="AD374" s="1"/>
      <c r="AE374" s="13"/>
    </row>
    <row r="375" spans="1:31" ht="16.5" hidden="1" customHeight="1">
      <c r="B375" s="103"/>
      <c r="C375" s="301"/>
      <c r="D375" s="306"/>
      <c r="E375" s="306"/>
      <c r="F375" s="306"/>
      <c r="G375" s="306"/>
      <c r="H375" s="306"/>
      <c r="I375" s="306"/>
      <c r="J375" s="306"/>
      <c r="K375" s="306"/>
      <c r="L375" s="306"/>
      <c r="M375" s="306"/>
      <c r="N375" s="306"/>
      <c r="O375" s="306"/>
      <c r="P375" s="1"/>
      <c r="T375" s="110"/>
      <c r="U375" s="520" t="s">
        <v>102</v>
      </c>
      <c r="V375" s="520"/>
      <c r="W375" s="520"/>
      <c r="X375" s="520"/>
      <c r="Y375" s="520"/>
      <c r="Z375" s="139"/>
      <c r="AA375" s="145"/>
      <c r="AB375" s="194">
        <f>IFERROR(IF('Mon Entreprise'!K8&gt;Annexes!Q29,0,IF('Mon Entreprise'!K8&gt;Annexes!Q26,1,1-'Mon Entreprise'!M114/AB366)),0)</f>
        <v>0</v>
      </c>
      <c r="AC375" s="1"/>
      <c r="AD375" s="1"/>
      <c r="AE375" s="13"/>
    </row>
    <row r="376" spans="1:31" ht="16.5" hidden="1" customHeight="1">
      <c r="B376" s="103"/>
      <c r="C376" s="505" t="s">
        <v>452</v>
      </c>
      <c r="D376" s="505"/>
      <c r="E376" s="505"/>
      <c r="F376" s="505"/>
      <c r="G376" s="505"/>
      <c r="H376" s="505"/>
      <c r="I376" s="505"/>
      <c r="J376" s="505"/>
      <c r="K376" s="505"/>
      <c r="L376" s="505"/>
      <c r="M376" s="505"/>
      <c r="N376" s="505"/>
      <c r="O376" s="505"/>
      <c r="P376" s="1"/>
      <c r="T376" s="110"/>
      <c r="U376" s="520" t="s">
        <v>109</v>
      </c>
      <c r="V376" s="520"/>
      <c r="W376" s="520"/>
      <c r="X376" s="520"/>
      <c r="Y376" s="520"/>
      <c r="Z376" s="139"/>
      <c r="AA376" s="145"/>
      <c r="AB376" s="194">
        <f>IFERROR(IF(Annexes!O27&gt;'Mon Entreprise'!K8,1-'Mon Entreprise'!M98/'Mon Entreprise'!I98,0),0)</f>
        <v>0</v>
      </c>
      <c r="AC376" s="1"/>
      <c r="AD376" s="1"/>
      <c r="AE376" s="13"/>
    </row>
    <row r="377" spans="1:31" ht="16.5" hidden="1" customHeight="1">
      <c r="B377" s="103"/>
      <c r="C377" s="505"/>
      <c r="D377" s="505"/>
      <c r="E377" s="505"/>
      <c r="F377" s="505"/>
      <c r="G377" s="505"/>
      <c r="H377" s="505"/>
      <c r="I377" s="505"/>
      <c r="J377" s="505"/>
      <c r="K377" s="505"/>
      <c r="L377" s="505"/>
      <c r="M377" s="505"/>
      <c r="N377" s="505"/>
      <c r="O377" s="505"/>
      <c r="P377" s="1"/>
      <c r="T377" s="110"/>
      <c r="U377" s="305"/>
      <c r="V377" s="305"/>
      <c r="W377" s="305"/>
      <c r="X377" s="305"/>
      <c r="Y377" s="305"/>
      <c r="Z377" s="139"/>
      <c r="AA377" s="145"/>
      <c r="AB377" s="194"/>
      <c r="AC377" s="1"/>
      <c r="AD377" s="1"/>
      <c r="AE377" s="13"/>
    </row>
    <row r="378" spans="1:31" ht="16.5" hidden="1" customHeight="1">
      <c r="B378" s="103"/>
      <c r="C378" s="505"/>
      <c r="D378" s="505"/>
      <c r="E378" s="505"/>
      <c r="F378" s="505"/>
      <c r="G378" s="505"/>
      <c r="H378" s="505"/>
      <c r="I378" s="505"/>
      <c r="J378" s="505"/>
      <c r="K378" s="505"/>
      <c r="L378" s="505"/>
      <c r="M378" s="505"/>
      <c r="N378" s="505"/>
      <c r="O378" s="505"/>
      <c r="P378" s="1"/>
      <c r="T378" s="14"/>
      <c r="U378" s="521" t="s">
        <v>8</v>
      </c>
      <c r="V378" s="521"/>
      <c r="W378" s="521"/>
      <c r="X378" s="521"/>
      <c r="Y378" s="521"/>
      <c r="Z378" s="1"/>
      <c r="AA378" s="14"/>
      <c r="AB378" s="300" t="str">
        <f>IF((AND(Annexes!F5&gt;1,Annexes!F5&lt;=Annexes!H6)),"OUI","NON")</f>
        <v>NON</v>
      </c>
      <c r="AC378" s="1"/>
      <c r="AD378" s="1"/>
      <c r="AE378" s="13"/>
    </row>
    <row r="379" spans="1:31" ht="16.5" hidden="1" customHeight="1">
      <c r="B379" s="103"/>
      <c r="C379" s="505"/>
      <c r="D379" s="505"/>
      <c r="E379" s="505"/>
      <c r="F379" s="505"/>
      <c r="G379" s="505"/>
      <c r="H379" s="505"/>
      <c r="I379" s="505"/>
      <c r="J379" s="505"/>
      <c r="K379" s="505"/>
      <c r="L379" s="505"/>
      <c r="M379" s="505"/>
      <c r="N379" s="505"/>
      <c r="O379" s="505"/>
      <c r="P379" s="1"/>
      <c r="T379" s="14"/>
      <c r="U379" s="304"/>
      <c r="V379" s="304"/>
      <c r="W379" s="304"/>
      <c r="X379" s="304"/>
      <c r="Y379" s="304" t="s">
        <v>9</v>
      </c>
      <c r="Z379" s="1"/>
      <c r="AA379" s="14"/>
      <c r="AB379" s="300" t="str">
        <f>IF(AND(Annexes!F7&gt;1,Annexes!F7&lt;=Annexes!H8),"OUI","NON")</f>
        <v>NON</v>
      </c>
      <c r="AC379" s="1"/>
      <c r="AD379" s="1"/>
      <c r="AE379" s="13"/>
    </row>
    <row r="380" spans="1:31" ht="16.5" hidden="1" customHeight="1">
      <c r="B380" s="103"/>
      <c r="C380" s="301"/>
      <c r="D380" s="306"/>
      <c r="E380" s="417"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417"/>
      <c r="G380" s="417"/>
      <c r="H380" s="417"/>
      <c r="I380" s="417"/>
      <c r="J380" s="417"/>
      <c r="K380" s="417"/>
      <c r="L380" s="417"/>
      <c r="M380" s="417"/>
      <c r="N380" s="417"/>
      <c r="O380" s="417"/>
      <c r="P380" s="1"/>
      <c r="T380" s="491" t="s">
        <v>455</v>
      </c>
      <c r="U380" s="490"/>
      <c r="V380" s="490"/>
      <c r="W380" s="490"/>
      <c r="X380" s="490"/>
      <c r="Y380" s="490"/>
      <c r="Z380" s="1"/>
      <c r="AA380" s="14"/>
      <c r="AB380" s="300" t="str">
        <f>IF(OR(Annexes!M17=TRUE,Annexes!M23=TRUE,Annexes!M24=TRUE),"OUI","NON")</f>
        <v>NON</v>
      </c>
      <c r="AC380" s="1"/>
      <c r="AD380" s="1"/>
      <c r="AE380" s="13"/>
    </row>
    <row r="381" spans="1:31" ht="16.5" hidden="1" customHeight="1">
      <c r="B381" s="103"/>
      <c r="C381" s="301"/>
      <c r="D381" s="306"/>
      <c r="E381" s="417"/>
      <c r="F381" s="417"/>
      <c r="G381" s="417"/>
      <c r="H381" s="417"/>
      <c r="I381" s="417"/>
      <c r="J381" s="417"/>
      <c r="K381" s="417"/>
      <c r="L381" s="417"/>
      <c r="M381" s="417"/>
      <c r="N381" s="417"/>
      <c r="O381" s="417"/>
      <c r="P381" s="1"/>
      <c r="T381" s="14"/>
      <c r="U381" s="490" t="s">
        <v>313</v>
      </c>
      <c r="V381" s="490"/>
      <c r="W381" s="490"/>
      <c r="X381" s="490"/>
      <c r="Y381" s="490"/>
      <c r="Z381" s="1"/>
      <c r="AA381" s="14"/>
      <c r="AB381" s="300" t="b">
        <f>IF(Annexes!M29=TRUE,TRUE,FALSE)</f>
        <v>0</v>
      </c>
      <c r="AC381" s="1"/>
      <c r="AD381" s="1"/>
      <c r="AE381" s="13"/>
    </row>
    <row r="382" spans="1:31" ht="16.5" hidden="1" customHeight="1">
      <c r="B382" s="168"/>
      <c r="C382" s="301"/>
      <c r="D382" s="306"/>
      <c r="E382" s="417"/>
      <c r="F382" s="417"/>
      <c r="G382" s="417"/>
      <c r="H382" s="417"/>
      <c r="I382" s="417"/>
      <c r="J382" s="417"/>
      <c r="K382" s="417"/>
      <c r="L382" s="417"/>
      <c r="M382" s="417"/>
      <c r="N382" s="417"/>
      <c r="O382" s="417"/>
      <c r="P382" s="1"/>
      <c r="T382" s="14"/>
      <c r="U382" s="490" t="s">
        <v>394</v>
      </c>
      <c r="V382" s="490"/>
      <c r="W382" s="490"/>
      <c r="X382" s="490"/>
      <c r="Y382" s="490"/>
      <c r="Z382" s="1"/>
      <c r="AA382" s="14"/>
      <c r="AB382" s="300" t="b">
        <f>IF(Annexes!M30=TRUE,TRUE,FALSE)</f>
        <v>0</v>
      </c>
      <c r="AC382" s="1"/>
      <c r="AD382" s="1"/>
      <c r="AE382" s="13"/>
    </row>
    <row r="383" spans="1:31" ht="16.5" hidden="1" customHeight="1">
      <c r="A383" s="99"/>
      <c r="B383" s="103"/>
      <c r="C383" s="301"/>
      <c r="D383" s="523"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523"/>
      <c r="F383" s="523"/>
      <c r="G383" s="523"/>
      <c r="H383" s="523"/>
      <c r="I383" s="523"/>
      <c r="J383" s="523"/>
      <c r="K383" s="523"/>
      <c r="L383" s="523"/>
      <c r="M383" s="523"/>
      <c r="N383" s="523"/>
      <c r="O383" s="523"/>
      <c r="P383" s="1"/>
      <c r="T383" s="14"/>
      <c r="U383" s="300"/>
      <c r="V383" s="300"/>
      <c r="W383" s="300"/>
      <c r="X383" s="300"/>
      <c r="Y383" s="300"/>
      <c r="Z383" s="1"/>
      <c r="AA383" s="14"/>
      <c r="AB383" s="300"/>
      <c r="AC383" s="1"/>
      <c r="AD383" s="1"/>
      <c r="AE383" s="13"/>
    </row>
    <row r="384" spans="1:31" ht="16.5" hidden="1" customHeight="1">
      <c r="A384" s="99"/>
      <c r="B384" s="103"/>
      <c r="C384" s="301"/>
      <c r="D384" s="524"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524"/>
      <c r="F384" s="524"/>
      <c r="G384" s="524"/>
      <c r="H384" s="524"/>
      <c r="I384" s="524"/>
      <c r="J384" s="524"/>
      <c r="K384" s="524"/>
      <c r="L384" s="524"/>
      <c r="M384" s="524"/>
      <c r="N384" s="524"/>
      <c r="O384" s="524"/>
      <c r="P384" s="1"/>
      <c r="T384" s="14"/>
      <c r="U384" s="525" t="s">
        <v>72</v>
      </c>
      <c r="V384" s="525"/>
      <c r="W384" s="525"/>
      <c r="X384" s="525"/>
      <c r="Y384" s="525"/>
      <c r="Z384" s="139"/>
      <c r="AA384" s="145"/>
      <c r="AB384" s="303" t="str">
        <f>IF(AB365="Oui","Oui","Non")</f>
        <v>Oui</v>
      </c>
      <c r="AC384" s="139"/>
      <c r="AD384" s="1"/>
      <c r="AE384" s="13"/>
    </row>
    <row r="385" spans="1:31" ht="16.5" hidden="1" customHeight="1">
      <c r="A385" s="99"/>
      <c r="B385" s="103"/>
      <c r="C385" s="301"/>
      <c r="D385" s="524"/>
      <c r="E385" s="524"/>
      <c r="F385" s="524"/>
      <c r="G385" s="524"/>
      <c r="H385" s="524"/>
      <c r="I385" s="524"/>
      <c r="J385" s="524"/>
      <c r="K385" s="524"/>
      <c r="L385" s="524"/>
      <c r="M385" s="524"/>
      <c r="N385" s="524"/>
      <c r="O385" s="524"/>
      <c r="P385" s="1"/>
      <c r="T385" s="14"/>
      <c r="U385" s="525" t="s">
        <v>84</v>
      </c>
      <c r="V385" s="525"/>
      <c r="W385" s="525"/>
      <c r="X385" s="525"/>
      <c r="Y385" s="525"/>
      <c r="Z385" s="139"/>
      <c r="AA385" s="145"/>
      <c r="AB385" s="303">
        <f>IF('Mon Entreprise'!K8&gt;=Annexes!O20,IF(AB354&gt;=AB356,AB354,AB356),IF(AB354&gt;=AB355,AB354,AB355))</f>
        <v>0</v>
      </c>
      <c r="AC385" s="139"/>
      <c r="AD385" s="1"/>
      <c r="AE385" s="13"/>
    </row>
    <row r="386" spans="1:31" ht="16.5" hidden="1" customHeight="1">
      <c r="B386" s="103"/>
      <c r="C386" s="301"/>
      <c r="D386" s="215" t="str">
        <f>IF(OR(AB378="OUI",AB381=TRUE),"- Sans ticket modérateur",IF(AND(OR(AB380="OUI",AB379="OUI"),OR(AB374&gt;=0.8,AB375&gt;=0.8,AB376&gt;=0.1)),"- La Perte de référence est plafonnée à 80 %, soit "&amp;ROUND(AB389,0)&amp;" €","- Sans ticket modérateur"))</f>
        <v>- Sans ticket modérateur</v>
      </c>
      <c r="E386" s="298"/>
      <c r="F386" s="298"/>
      <c r="G386" s="298"/>
      <c r="H386" s="298"/>
      <c r="I386" s="298"/>
      <c r="J386" s="298"/>
      <c r="K386" s="298"/>
      <c r="L386" s="298"/>
      <c r="M386" s="298"/>
      <c r="N386" s="298"/>
      <c r="O386" s="298"/>
      <c r="P386" s="1"/>
      <c r="T386" s="14"/>
      <c r="U386" s="525" t="s">
        <v>85</v>
      </c>
      <c r="V386" s="525"/>
      <c r="W386" s="525"/>
      <c r="X386" s="525"/>
      <c r="Y386" s="525"/>
      <c r="Z386" s="139"/>
      <c r="AA386" s="145"/>
      <c r="AB386" s="303">
        <f>IF('Mon Entreprise'!K8&gt;=Annexes!O20,IF(AB354&gt;=AB356,AE354,AE356),IF(AB354&gt;=AB355,AE354,AE355))</f>
        <v>0</v>
      </c>
      <c r="AC386" s="139"/>
      <c r="AD386" s="1"/>
      <c r="AE386" s="13"/>
    </row>
    <row r="387" spans="1:31" ht="16.5" hidden="1" customHeight="1" thickBot="1">
      <c r="B387" s="103"/>
      <c r="C387" s="301"/>
      <c r="D387" s="298"/>
      <c r="E387" s="298"/>
      <c r="F387" s="298"/>
      <c r="G387" s="298"/>
      <c r="H387" s="298"/>
      <c r="I387" s="298"/>
      <c r="J387" s="298"/>
      <c r="K387" s="298"/>
      <c r="L387" s="298"/>
      <c r="M387" s="298"/>
      <c r="N387" s="298"/>
      <c r="O387" s="298"/>
      <c r="P387" s="1"/>
      <c r="T387" s="14"/>
      <c r="U387" s="502" t="s">
        <v>74</v>
      </c>
      <c r="V387" s="502"/>
      <c r="W387" s="502"/>
      <c r="X387" s="502"/>
      <c r="Y387" s="502"/>
      <c r="Z387" s="139"/>
      <c r="AA387" s="145"/>
      <c r="AB387" s="303">
        <f>IF(OR(AB378="OUI",AB381=TRUE),1,IF(AND(OR(AB380="OUI",AB379="OUI"),OR(AB374&gt;=0.8,AB375&gt;=0.8,AB376&gt;=0.1)),0.8,1))</f>
        <v>1</v>
      </c>
      <c r="AC387" s="139"/>
      <c r="AD387" s="1"/>
      <c r="AE387" s="13"/>
    </row>
    <row r="388" spans="1:31" ht="16.5" hidden="1" customHeight="1">
      <c r="B388" s="103"/>
      <c r="C388" s="301"/>
      <c r="D388" s="508"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509"/>
      <c r="F388" s="509"/>
      <c r="G388" s="509"/>
      <c r="H388" s="509"/>
      <c r="I388" s="509"/>
      <c r="J388" s="509"/>
      <c r="K388" s="509"/>
      <c r="L388" s="509"/>
      <c r="M388" s="509"/>
      <c r="N388" s="509"/>
      <c r="O388" s="510"/>
      <c r="P388" s="1"/>
      <c r="T388" s="14"/>
      <c r="U388" s="502" t="s">
        <v>80</v>
      </c>
      <c r="V388" s="502"/>
      <c r="W388" s="502"/>
      <c r="X388" s="502"/>
      <c r="Y388" s="502"/>
      <c r="Z388" s="139"/>
      <c r="AA388" s="145"/>
      <c r="AB388" s="303">
        <f>IF('Mon Entreprise'!K8&gt;=Annexes!O20,IF(AB354&gt;=AB356,Y354,Y356),IF(AB354&gt;=AB355,Y354,Y355))</f>
        <v>0</v>
      </c>
      <c r="AC388" s="139"/>
      <c r="AD388" s="1"/>
      <c r="AE388" s="13"/>
    </row>
    <row r="389" spans="1:31" ht="16.5" hidden="1" customHeight="1">
      <c r="B389" s="173"/>
      <c r="C389" s="301"/>
      <c r="D389" s="511"/>
      <c r="E389" s="512"/>
      <c r="F389" s="512"/>
      <c r="G389" s="512"/>
      <c r="H389" s="512"/>
      <c r="I389" s="512"/>
      <c r="J389" s="512"/>
      <c r="K389" s="512"/>
      <c r="L389" s="512"/>
      <c r="M389" s="512"/>
      <c r="N389" s="512"/>
      <c r="O389" s="513"/>
      <c r="P389" s="1"/>
      <c r="T389" s="14"/>
      <c r="U389" s="490" t="s">
        <v>104</v>
      </c>
      <c r="V389" s="490"/>
      <c r="W389" s="490"/>
      <c r="X389" s="490"/>
      <c r="Y389" s="490"/>
      <c r="Z389" s="1"/>
      <c r="AA389" s="14"/>
      <c r="AB389" s="300">
        <f>IF(AB387=1,AB385,IF(AB385*AB387&gt;1500,IF(AB385&gt;1500,AB385*AB387,"Impossible"),IF(AB385&lt;1500,AB385,1500)))</f>
        <v>0</v>
      </c>
      <c r="AC389" s="1"/>
      <c r="AD389" s="1"/>
      <c r="AE389" s="13"/>
    </row>
    <row r="390" spans="1:31" ht="16.5" hidden="1" customHeight="1">
      <c r="B390" s="103"/>
      <c r="C390" s="301"/>
      <c r="D390" s="511"/>
      <c r="E390" s="512"/>
      <c r="F390" s="512"/>
      <c r="G390" s="512"/>
      <c r="H390" s="512"/>
      <c r="I390" s="512"/>
      <c r="J390" s="512"/>
      <c r="K390" s="512"/>
      <c r="L390" s="512"/>
      <c r="M390" s="512"/>
      <c r="N390" s="512"/>
      <c r="O390" s="513"/>
      <c r="P390" s="1"/>
      <c r="T390" s="14"/>
      <c r="U390" s="300"/>
      <c r="V390" s="300"/>
      <c r="W390" s="300"/>
      <c r="X390" s="300"/>
      <c r="Y390" s="300"/>
      <c r="Z390" s="1"/>
      <c r="AA390" s="1"/>
      <c r="AB390" s="1"/>
      <c r="AC390" s="1"/>
      <c r="AD390" s="1"/>
      <c r="AE390" s="13"/>
    </row>
    <row r="391" spans="1:31" ht="16.5" hidden="1" customHeight="1" thickBot="1">
      <c r="B391" s="103"/>
      <c r="C391" s="301"/>
      <c r="D391" s="514"/>
      <c r="E391" s="515"/>
      <c r="F391" s="515"/>
      <c r="G391" s="515"/>
      <c r="H391" s="515"/>
      <c r="I391" s="515"/>
      <c r="J391" s="515"/>
      <c r="K391" s="515"/>
      <c r="L391" s="515"/>
      <c r="M391" s="515"/>
      <c r="N391" s="515"/>
      <c r="O391" s="516"/>
      <c r="P391" s="1"/>
      <c r="T391" s="14"/>
      <c r="U391" s="490"/>
      <c r="V391" s="490"/>
      <c r="W391" s="490"/>
      <c r="X391" s="490"/>
      <c r="Y391" s="490"/>
      <c r="Z391" s="1"/>
      <c r="AA391" s="1"/>
      <c r="AB391" s="1"/>
      <c r="AC391" s="1"/>
      <c r="AD391" s="1"/>
      <c r="AE391" s="13"/>
    </row>
    <row r="392" spans="1:31" ht="16.5" hidden="1" customHeight="1">
      <c r="B392" s="103"/>
      <c r="C392" s="169"/>
      <c r="D392" s="174"/>
      <c r="E392" s="174"/>
      <c r="F392" s="174"/>
      <c r="G392" s="174"/>
      <c r="H392" s="174"/>
      <c r="I392" s="174"/>
      <c r="J392" s="174"/>
      <c r="K392" s="174"/>
      <c r="L392" s="174"/>
      <c r="M392" s="174"/>
      <c r="N392" s="174"/>
      <c r="O392" s="174"/>
      <c r="P392" s="1"/>
      <c r="T392" s="14"/>
      <c r="U392" s="300"/>
      <c r="V392" s="300"/>
      <c r="W392" s="300"/>
      <c r="X392" s="300"/>
      <c r="Y392" s="300"/>
      <c r="Z392" s="1"/>
      <c r="AA392" s="1"/>
      <c r="AB392" s="1"/>
      <c r="AC392" s="1"/>
      <c r="AD392" s="1"/>
      <c r="AE392" s="13"/>
    </row>
    <row r="393" spans="1:31" ht="16.5" hidden="1" customHeight="1">
      <c r="B393" s="103"/>
      <c r="C393" s="301"/>
      <c r="D393" s="298"/>
      <c r="E393" s="298"/>
      <c r="F393" s="298"/>
      <c r="G393" s="298"/>
      <c r="H393" s="298"/>
      <c r="I393" s="298"/>
      <c r="J393" s="298"/>
      <c r="K393" s="298"/>
      <c r="L393" s="298"/>
      <c r="M393" s="298"/>
      <c r="N393" s="298"/>
      <c r="O393" s="298"/>
      <c r="P393" s="1"/>
      <c r="T393" s="14"/>
      <c r="U393" s="1"/>
      <c r="V393" s="1"/>
      <c r="W393" s="1"/>
      <c r="X393" s="1"/>
      <c r="Y393" s="1"/>
      <c r="Z393" s="1"/>
      <c r="AA393" s="1"/>
      <c r="AB393" s="1"/>
      <c r="AC393" s="1"/>
      <c r="AD393" s="1"/>
      <c r="AE393" s="13"/>
    </row>
    <row r="394" spans="1:31" ht="16.5" hidden="1" customHeight="1">
      <c r="B394" s="103"/>
      <c r="C394" s="529" t="s">
        <v>453</v>
      </c>
      <c r="D394" s="529"/>
      <c r="E394" s="529"/>
      <c r="F394" s="529"/>
      <c r="G394" s="529"/>
      <c r="H394" s="529"/>
      <c r="I394" s="529"/>
      <c r="J394" s="529"/>
      <c r="K394" s="529"/>
      <c r="L394" s="529"/>
      <c r="M394" s="529"/>
      <c r="N394" s="529"/>
      <c r="O394" s="529"/>
      <c r="P394" s="1"/>
      <c r="T394" s="14"/>
      <c r="U394" s="1"/>
      <c r="V394" s="1"/>
      <c r="W394" s="1"/>
      <c r="X394" s="1"/>
      <c r="Y394" s="1"/>
      <c r="Z394" s="1"/>
      <c r="AA394" s="1"/>
      <c r="AB394" s="1"/>
      <c r="AC394" s="1"/>
      <c r="AD394" s="1"/>
      <c r="AE394" s="13"/>
    </row>
    <row r="395" spans="1:31" ht="16.5" hidden="1" customHeight="1">
      <c r="B395" s="103"/>
      <c r="C395" s="529"/>
      <c r="D395" s="529"/>
      <c r="E395" s="529"/>
      <c r="F395" s="529"/>
      <c r="G395" s="529"/>
      <c r="H395" s="529"/>
      <c r="I395" s="529"/>
      <c r="J395" s="529"/>
      <c r="K395" s="529"/>
      <c r="L395" s="529"/>
      <c r="M395" s="529"/>
      <c r="N395" s="529"/>
      <c r="O395" s="529"/>
      <c r="P395" s="1"/>
      <c r="T395" s="14"/>
      <c r="U395" s="1"/>
      <c r="V395" s="1"/>
      <c r="W395" s="1"/>
      <c r="X395" s="1"/>
      <c r="Y395" s="1"/>
      <c r="Z395" s="1"/>
      <c r="AA395" s="1"/>
      <c r="AB395" s="1"/>
      <c r="AC395" s="1"/>
      <c r="AD395" s="1"/>
      <c r="AE395" s="13"/>
    </row>
    <row r="396" spans="1:31" ht="16.5" hidden="1" customHeight="1">
      <c r="B396" s="103"/>
      <c r="C396" s="529"/>
      <c r="D396" s="529"/>
      <c r="E396" s="529"/>
      <c r="F396" s="529"/>
      <c r="G396" s="529"/>
      <c r="H396" s="529"/>
      <c r="I396" s="529"/>
      <c r="J396" s="529"/>
      <c r="K396" s="529"/>
      <c r="L396" s="529"/>
      <c r="M396" s="529"/>
      <c r="N396" s="529"/>
      <c r="O396" s="529"/>
      <c r="P396" s="1"/>
      <c r="T396" s="14"/>
      <c r="U396" s="1"/>
      <c r="V396" s="1"/>
      <c r="W396" s="1"/>
      <c r="X396" s="1"/>
      <c r="Y396" s="1"/>
      <c r="Z396" s="1"/>
      <c r="AA396" s="1"/>
      <c r="AB396" s="1"/>
      <c r="AC396" s="1"/>
      <c r="AD396" s="1"/>
      <c r="AE396" s="13"/>
    </row>
    <row r="397" spans="1:31" ht="16.5" hidden="1" customHeight="1">
      <c r="B397" s="173"/>
      <c r="C397" s="529"/>
      <c r="D397" s="529"/>
      <c r="E397" s="529"/>
      <c r="F397" s="529"/>
      <c r="G397" s="529"/>
      <c r="H397" s="529"/>
      <c r="I397" s="529"/>
      <c r="J397" s="529"/>
      <c r="K397" s="529"/>
      <c r="L397" s="529"/>
      <c r="M397" s="529"/>
      <c r="N397" s="529"/>
      <c r="O397" s="529"/>
      <c r="P397" s="1"/>
      <c r="T397" s="14"/>
      <c r="U397" s="1"/>
      <c r="V397" s="1"/>
      <c r="W397" s="1"/>
      <c r="X397" s="1"/>
      <c r="Y397" s="1"/>
      <c r="Z397" s="1"/>
      <c r="AA397" s="1"/>
      <c r="AB397" s="1"/>
      <c r="AC397" s="1"/>
      <c r="AD397" s="1"/>
      <c r="AE397" s="13"/>
    </row>
    <row r="398" spans="1:31" ht="16.5" hidden="1" customHeight="1">
      <c r="B398" s="173"/>
      <c r="C398" s="301"/>
      <c r="D398" s="306"/>
      <c r="E398" s="523"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523"/>
      <c r="G398" s="523"/>
      <c r="H398" s="523"/>
      <c r="I398" s="523"/>
      <c r="J398" s="523"/>
      <c r="K398" s="523"/>
      <c r="L398" s="523"/>
      <c r="M398" s="523"/>
      <c r="N398" s="523"/>
      <c r="O398" s="523"/>
      <c r="P398" s="1"/>
      <c r="T398" s="14"/>
      <c r="U398" s="502" t="s">
        <v>82</v>
      </c>
      <c r="V398" s="502"/>
      <c r="W398" s="502"/>
      <c r="X398" s="502"/>
      <c r="Y398" s="502"/>
      <c r="Z398" s="68"/>
      <c r="AA398" s="1"/>
      <c r="AB398" s="1">
        <f>IFERROR(IF(AB365="Non",0,IF(OR(AB381=TRUE,AND(AB368&lt;0.5,AB382=TRUE),(AB368&gt;=0.5)),IF(AB367&gt;Annexes!O5,Annexes!O5,ROUND(AB367,0)),0)),0)</f>
        <v>0</v>
      </c>
      <c r="AC398" s="1"/>
      <c r="AD398" s="1"/>
      <c r="AE398" s="13"/>
    </row>
    <row r="399" spans="1:31" ht="15" hidden="1" customHeight="1">
      <c r="B399" s="173"/>
      <c r="C399" s="301"/>
      <c r="D399" s="306"/>
      <c r="E399" s="523"/>
      <c r="F399" s="523"/>
      <c r="G399" s="523"/>
      <c r="H399" s="523"/>
      <c r="I399" s="523"/>
      <c r="J399" s="523"/>
      <c r="K399" s="523"/>
      <c r="L399" s="523"/>
      <c r="M399" s="523"/>
      <c r="N399" s="523"/>
      <c r="O399" s="523"/>
      <c r="P399" s="1"/>
      <c r="T399" s="14"/>
      <c r="U399" s="502" t="s">
        <v>81</v>
      </c>
      <c r="V399" s="502"/>
      <c r="W399" s="502"/>
      <c r="X399" s="502"/>
      <c r="Y399" s="502"/>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hidden="1" customHeight="1">
      <c r="B400" s="173"/>
      <c r="C400" s="301"/>
      <c r="D400" s="306"/>
      <c r="E400" s="523"/>
      <c r="F400" s="523"/>
      <c r="G400" s="523"/>
      <c r="H400" s="523"/>
      <c r="I400" s="523"/>
      <c r="J400" s="523"/>
      <c r="K400" s="523"/>
      <c r="L400" s="523"/>
      <c r="M400" s="523"/>
      <c r="N400" s="523"/>
      <c r="O400" s="523"/>
      <c r="P400" s="1"/>
      <c r="T400" s="14"/>
      <c r="U400" s="502" t="s">
        <v>399</v>
      </c>
      <c r="V400" s="502"/>
      <c r="W400" s="502"/>
      <c r="X400" s="502"/>
      <c r="Y400" s="502"/>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hidden="1" customHeight="1">
      <c r="B401" s="173"/>
      <c r="C401" s="301"/>
      <c r="D401" s="417"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417"/>
      <c r="F401" s="417"/>
      <c r="G401" s="417"/>
      <c r="H401" s="417"/>
      <c r="I401" s="417"/>
      <c r="J401" s="417"/>
      <c r="K401" s="417"/>
      <c r="L401" s="417"/>
      <c r="M401" s="417"/>
      <c r="N401" s="417"/>
      <c r="O401" s="417"/>
      <c r="P401" s="298"/>
      <c r="Q401" s="298"/>
      <c r="T401" s="14"/>
      <c r="U401" s="1"/>
      <c r="V401" s="1"/>
      <c r="W401" s="1"/>
      <c r="X401" s="1"/>
      <c r="Y401" s="1"/>
      <c r="Z401" s="1"/>
      <c r="AA401" s="1"/>
      <c r="AB401" s="1"/>
      <c r="AC401" s="1"/>
      <c r="AD401" s="1"/>
      <c r="AE401" s="13"/>
    </row>
    <row r="402" spans="2:31" ht="16.5" hidden="1" customHeight="1">
      <c r="B402" s="173"/>
      <c r="C402" s="301"/>
      <c r="D402" s="524"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524"/>
      <c r="F402" s="524"/>
      <c r="G402" s="524"/>
      <c r="H402" s="524"/>
      <c r="I402" s="524"/>
      <c r="J402" s="524"/>
      <c r="K402" s="524"/>
      <c r="L402" s="524"/>
      <c r="M402" s="524"/>
      <c r="N402" s="524"/>
      <c r="O402" s="524"/>
      <c r="P402" s="298"/>
      <c r="Q402" s="298"/>
      <c r="T402" s="14"/>
      <c r="U402" s="1"/>
      <c r="V402" s="1"/>
      <c r="W402" s="1"/>
      <c r="X402" s="1"/>
      <c r="Y402" s="1"/>
      <c r="Z402" s="1"/>
      <c r="AA402" s="1"/>
      <c r="AB402" s="1"/>
      <c r="AC402" s="1"/>
      <c r="AD402" s="1"/>
      <c r="AE402" s="13"/>
    </row>
    <row r="403" spans="2:31" ht="16.5" hidden="1" customHeight="1">
      <c r="B403" s="173"/>
      <c r="C403" s="301"/>
      <c r="D403" s="524"/>
      <c r="E403" s="524"/>
      <c r="F403" s="524"/>
      <c r="G403" s="524"/>
      <c r="H403" s="524"/>
      <c r="I403" s="524"/>
      <c r="J403" s="524"/>
      <c r="K403" s="524"/>
      <c r="L403" s="524"/>
      <c r="M403" s="524"/>
      <c r="N403" s="524"/>
      <c r="O403" s="524"/>
      <c r="P403" s="298"/>
      <c r="Q403" s="298"/>
      <c r="T403" s="14"/>
      <c r="U403" s="1"/>
      <c r="V403" s="1"/>
      <c r="W403" s="1"/>
      <c r="X403" s="1"/>
      <c r="Y403" s="1"/>
      <c r="Z403" s="1"/>
      <c r="AA403" s="1"/>
      <c r="AB403" s="1"/>
      <c r="AC403" s="1"/>
      <c r="AD403" s="1"/>
      <c r="AE403" s="13"/>
    </row>
    <row r="404" spans="2:31" ht="16.5" hidden="1" customHeight="1">
      <c r="B404" s="103"/>
      <c r="C404" s="301"/>
      <c r="D404" s="523"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523"/>
      <c r="F404" s="523"/>
      <c r="G404" s="523"/>
      <c r="H404" s="523"/>
      <c r="I404" s="523"/>
      <c r="J404" s="523"/>
      <c r="K404" s="523"/>
      <c r="L404" s="523"/>
      <c r="M404" s="523"/>
      <c r="N404" s="523"/>
      <c r="O404" s="523"/>
      <c r="P404" s="298"/>
      <c r="Q404" s="298"/>
      <c r="T404" s="14"/>
      <c r="U404" s="1"/>
      <c r="V404" s="1"/>
      <c r="W404" s="1"/>
      <c r="X404" s="1"/>
      <c r="Y404" s="1"/>
      <c r="Z404" s="1"/>
      <c r="AA404" s="1"/>
      <c r="AB404" s="1"/>
      <c r="AC404" s="1"/>
      <c r="AD404" s="1"/>
      <c r="AE404" s="13"/>
    </row>
    <row r="405" spans="2:31" ht="16.5" hidden="1" customHeight="1">
      <c r="B405" s="168"/>
      <c r="C405" s="301"/>
      <c r="D405" s="523"/>
      <c r="E405" s="523"/>
      <c r="F405" s="523"/>
      <c r="G405" s="523"/>
      <c r="H405" s="523"/>
      <c r="I405" s="523"/>
      <c r="J405" s="523"/>
      <c r="K405" s="523"/>
      <c r="L405" s="523"/>
      <c r="M405" s="523"/>
      <c r="N405" s="523"/>
      <c r="O405" s="523"/>
      <c r="P405" s="298"/>
      <c r="Q405" s="298"/>
      <c r="T405" s="14"/>
      <c r="U405" s="1"/>
      <c r="V405" s="1"/>
      <c r="W405" s="1"/>
      <c r="X405" s="1"/>
      <c r="Y405" s="1"/>
      <c r="Z405" s="1"/>
      <c r="AA405" s="1"/>
      <c r="AB405" s="1"/>
      <c r="AC405" s="1"/>
      <c r="AD405" s="1"/>
      <c r="AE405" s="13"/>
    </row>
    <row r="406" spans="2:31" ht="16.5" hidden="1" customHeight="1" thickBot="1">
      <c r="B406" s="168"/>
      <c r="C406" s="301"/>
      <c r="D406" s="205"/>
      <c r="E406" s="298"/>
      <c r="F406" s="298"/>
      <c r="G406" s="298"/>
      <c r="H406" s="298"/>
      <c r="I406" s="298"/>
      <c r="J406" s="298"/>
      <c r="K406" s="298"/>
      <c r="L406" s="298"/>
      <c r="M406" s="298"/>
      <c r="N406" s="298"/>
      <c r="O406" s="298"/>
      <c r="P406" s="298"/>
      <c r="Q406" s="298"/>
      <c r="T406" s="14"/>
      <c r="U406" s="1"/>
      <c r="V406" s="1"/>
      <c r="W406" s="1"/>
      <c r="X406" s="1"/>
      <c r="Y406" s="1"/>
      <c r="Z406" s="1"/>
      <c r="AA406" s="1"/>
      <c r="AB406" s="1"/>
      <c r="AC406" s="1"/>
      <c r="AD406" s="1"/>
      <c r="AE406" s="13"/>
    </row>
    <row r="407" spans="2:31" ht="16.5" hidden="1" customHeight="1">
      <c r="B407" s="103"/>
      <c r="C407" s="180"/>
      <c r="D407" s="527"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509"/>
      <c r="F407" s="509"/>
      <c r="G407" s="509"/>
      <c r="H407" s="509"/>
      <c r="I407" s="509"/>
      <c r="J407" s="509"/>
      <c r="K407" s="509"/>
      <c r="L407" s="509"/>
      <c r="M407" s="509"/>
      <c r="N407" s="509"/>
      <c r="O407" s="510"/>
      <c r="P407" s="298"/>
      <c r="Q407" s="298"/>
      <c r="T407" s="14"/>
      <c r="U407" s="1"/>
      <c r="V407" s="1"/>
      <c r="W407" s="1"/>
      <c r="X407" s="1"/>
      <c r="Y407" s="1"/>
      <c r="Z407" s="1"/>
      <c r="AA407" s="1"/>
      <c r="AB407" s="1"/>
      <c r="AC407" s="1"/>
      <c r="AD407" s="1"/>
      <c r="AE407" s="13"/>
    </row>
    <row r="408" spans="2:31" ht="16.5" hidden="1" customHeight="1">
      <c r="B408" s="103"/>
      <c r="C408" s="180"/>
      <c r="D408" s="511"/>
      <c r="E408" s="512"/>
      <c r="F408" s="512"/>
      <c r="G408" s="512"/>
      <c r="H408" s="512"/>
      <c r="I408" s="512"/>
      <c r="J408" s="512"/>
      <c r="K408" s="512"/>
      <c r="L408" s="512"/>
      <c r="M408" s="512"/>
      <c r="N408" s="512"/>
      <c r="O408" s="513"/>
      <c r="P408" s="298"/>
      <c r="Q408" s="298"/>
      <c r="T408" s="14"/>
      <c r="U408" s="1"/>
      <c r="V408" s="1"/>
      <c r="W408" s="1"/>
      <c r="X408" s="1"/>
      <c r="Y408" s="1"/>
      <c r="Z408" s="1"/>
      <c r="AA408" s="1"/>
      <c r="AB408" s="1"/>
      <c r="AC408" s="1"/>
      <c r="AD408" s="1"/>
      <c r="AE408" s="13"/>
    </row>
    <row r="409" spans="2:31" ht="16.5" hidden="1" customHeight="1">
      <c r="B409" s="103"/>
      <c r="C409" s="180"/>
      <c r="D409" s="511"/>
      <c r="E409" s="512"/>
      <c r="F409" s="512"/>
      <c r="G409" s="512"/>
      <c r="H409" s="512"/>
      <c r="I409" s="512"/>
      <c r="J409" s="512"/>
      <c r="K409" s="512"/>
      <c r="L409" s="512"/>
      <c r="M409" s="512"/>
      <c r="N409" s="512"/>
      <c r="O409" s="513"/>
      <c r="P409" s="175"/>
      <c r="Q409" s="175"/>
      <c r="T409" s="14"/>
      <c r="U409" s="1"/>
      <c r="V409" s="1"/>
      <c r="W409" s="1"/>
      <c r="X409" s="1"/>
      <c r="Y409" s="1"/>
      <c r="Z409" s="1"/>
      <c r="AA409" s="1"/>
      <c r="AB409" s="1"/>
      <c r="AC409" s="1"/>
      <c r="AD409" s="1"/>
      <c r="AE409" s="13"/>
    </row>
    <row r="410" spans="2:31" ht="16.5" hidden="1" customHeight="1" thickBot="1">
      <c r="B410" s="103"/>
      <c r="C410" s="180"/>
      <c r="D410" s="514"/>
      <c r="E410" s="515"/>
      <c r="F410" s="515"/>
      <c r="G410" s="515"/>
      <c r="H410" s="515"/>
      <c r="I410" s="515"/>
      <c r="J410" s="515"/>
      <c r="K410" s="515"/>
      <c r="L410" s="515"/>
      <c r="M410" s="515"/>
      <c r="N410" s="515"/>
      <c r="O410" s="516"/>
      <c r="T410" s="14"/>
      <c r="U410" s="1"/>
      <c r="V410" s="1"/>
      <c r="W410" s="1"/>
      <c r="X410" s="1"/>
      <c r="Y410" s="1"/>
      <c r="Z410" s="1"/>
      <c r="AA410" s="1"/>
      <c r="AB410" s="1"/>
      <c r="AC410" s="1"/>
      <c r="AD410" s="1"/>
      <c r="AE410" s="13"/>
    </row>
    <row r="411" spans="2:31" ht="16.5" hidden="1" customHeight="1">
      <c r="B411" s="5"/>
      <c r="C411" s="5"/>
      <c r="D411" s="531" t="str">
        <f>IF(AND(AB382=TRUE,AB381=FALSE,AB367&gt;1500),"L'aide est plafonné à 1 500 €, Si l'entreprise a subi une perte de moins de 50 % sur la période en comprenant le CA réalisé sur les activités de vente à distance avec retrait en magasin ou livraison sont à prendre en compte pour le calcul de la perte","")</f>
        <v/>
      </c>
      <c r="E411" s="531"/>
      <c r="F411" s="531"/>
      <c r="G411" s="531"/>
      <c r="H411" s="531"/>
      <c r="I411" s="531"/>
      <c r="J411" s="531"/>
      <c r="K411" s="531"/>
      <c r="L411" s="531"/>
      <c r="M411" s="531"/>
      <c r="N411" s="531"/>
      <c r="O411" s="531"/>
      <c r="P411" s="177"/>
      <c r="Q411" s="177"/>
      <c r="T411" s="14"/>
      <c r="U411" s="1"/>
      <c r="V411" s="1"/>
      <c r="W411" s="1"/>
      <c r="X411" s="1"/>
      <c r="Y411" s="1"/>
      <c r="Z411" s="1"/>
      <c r="AA411" s="1"/>
      <c r="AB411" s="1"/>
      <c r="AC411" s="1"/>
      <c r="AD411" s="1"/>
      <c r="AE411" s="13"/>
    </row>
    <row r="412" spans="2:31" hidden="1">
      <c r="B412" s="5"/>
      <c r="C412" s="5"/>
      <c r="D412" s="531"/>
      <c r="E412" s="531"/>
      <c r="F412" s="531"/>
      <c r="G412" s="531"/>
      <c r="H412" s="531"/>
      <c r="I412" s="531"/>
      <c r="J412" s="531"/>
      <c r="K412" s="531"/>
      <c r="L412" s="531"/>
      <c r="M412" s="531"/>
      <c r="N412" s="531"/>
      <c r="O412" s="531"/>
      <c r="P412" s="177"/>
      <c r="Q412" s="177"/>
      <c r="T412" s="14"/>
      <c r="U412" s="1"/>
      <c r="V412" s="1"/>
      <c r="W412" s="1"/>
      <c r="X412" s="1"/>
      <c r="Y412" s="1"/>
      <c r="Z412" s="1"/>
      <c r="AA412" s="1"/>
      <c r="AB412" s="1"/>
      <c r="AC412" s="1"/>
      <c r="AD412" s="1"/>
      <c r="AE412" s="13"/>
    </row>
    <row r="413" spans="2:31">
      <c r="D413" s="177"/>
      <c r="E413" s="177"/>
      <c r="F413" s="177"/>
      <c r="G413" s="177"/>
      <c r="H413" s="177"/>
      <c r="I413" s="177"/>
      <c r="J413" s="177"/>
      <c r="K413" s="177"/>
      <c r="L413" s="177"/>
      <c r="M413" s="177"/>
      <c r="N413" s="177"/>
      <c r="O413" s="177"/>
      <c r="P413" s="175"/>
      <c r="Q413" s="175"/>
      <c r="T413" s="14"/>
      <c r="U413" s="1"/>
      <c r="V413" s="1"/>
      <c r="W413" s="1"/>
      <c r="X413" s="1"/>
      <c r="Y413" s="1"/>
      <c r="Z413" s="1"/>
      <c r="AA413" s="1"/>
      <c r="AB413" s="1"/>
      <c r="AC413" s="1"/>
      <c r="AD413" s="1"/>
      <c r="AE413" s="13"/>
    </row>
    <row r="414" spans="2:31" ht="16.5" thickBot="1">
      <c r="B414" s="220"/>
      <c r="C414" s="488" t="s">
        <v>461</v>
      </c>
      <c r="D414" s="488"/>
      <c r="E414" s="488"/>
      <c r="F414" s="488"/>
      <c r="G414" s="488"/>
      <c r="H414" s="488"/>
      <c r="I414" s="221"/>
      <c r="J414" s="221"/>
      <c r="K414" s="221"/>
      <c r="L414" s="221"/>
      <c r="M414" s="221"/>
      <c r="N414" s="221"/>
      <c r="O414" s="221"/>
      <c r="T414" s="16"/>
      <c r="U414" s="11"/>
      <c r="V414" s="11"/>
      <c r="W414" s="11"/>
      <c r="X414" s="11"/>
      <c r="Y414" s="11"/>
      <c r="Z414" s="11"/>
      <c r="AA414" s="11"/>
      <c r="AB414" s="11"/>
      <c r="AC414" s="11"/>
      <c r="AD414" s="11"/>
      <c r="AE414" s="12"/>
    </row>
    <row r="415" spans="2:31" ht="15" customHeight="1">
      <c r="B415" s="63"/>
      <c r="C415" s="24"/>
      <c r="D415" s="24"/>
      <c r="E415" s="24"/>
      <c r="F415" s="24"/>
      <c r="G415" s="24"/>
      <c r="H415" s="63"/>
      <c r="I415" s="1"/>
      <c r="J415" s="1"/>
      <c r="K415" s="1"/>
      <c r="L415" s="1"/>
      <c r="M415" s="1"/>
      <c r="N415" s="1"/>
      <c r="O415" s="1"/>
      <c r="T415" s="14"/>
      <c r="U415" s="1"/>
      <c r="V415" s="1"/>
      <c r="W415" s="1"/>
      <c r="X415" s="1"/>
      <c r="Y415" s="1"/>
      <c r="Z415" s="1"/>
      <c r="AA415" s="1"/>
      <c r="AB415" s="1"/>
      <c r="AC415" s="1"/>
      <c r="AD415" s="1"/>
      <c r="AE415" s="13"/>
    </row>
    <row r="416" spans="2:31" ht="15" customHeight="1">
      <c r="B416" s="103"/>
      <c r="C416" s="489" t="s">
        <v>471</v>
      </c>
      <c r="D416" s="489"/>
      <c r="E416" s="489"/>
      <c r="F416" s="489"/>
      <c r="G416" s="489"/>
      <c r="H416" s="489"/>
      <c r="I416" s="489"/>
      <c r="J416" s="489"/>
      <c r="K416" s="489"/>
      <c r="L416" s="489"/>
      <c r="M416" s="489"/>
      <c r="N416" s="489"/>
      <c r="O416" s="489"/>
      <c r="P416" s="1"/>
      <c r="T416" s="25"/>
      <c r="U416" s="490" t="s">
        <v>20</v>
      </c>
      <c r="V416" s="490"/>
      <c r="W416" s="490"/>
      <c r="X416" s="1"/>
      <c r="Y416" s="328" t="s">
        <v>6</v>
      </c>
      <c r="Z416" s="328"/>
      <c r="AA416" s="328"/>
      <c r="AB416" s="328" t="s">
        <v>23</v>
      </c>
      <c r="AC416" s="328"/>
      <c r="AD416" s="328"/>
      <c r="AE416" s="26" t="s">
        <v>24</v>
      </c>
    </row>
    <row r="417" spans="2:31" ht="15.75" customHeight="1">
      <c r="B417" s="103"/>
      <c r="C417" s="325"/>
      <c r="D417" s="60" t="s">
        <v>435</v>
      </c>
      <c r="E417" s="325"/>
      <c r="F417" s="325"/>
      <c r="G417" s="325"/>
      <c r="H417" s="325"/>
      <c r="I417" s="325"/>
      <c r="J417" s="325"/>
      <c r="K417" s="325"/>
      <c r="L417" s="325"/>
      <c r="M417" s="325"/>
      <c r="N417" s="325"/>
      <c r="O417" s="325"/>
      <c r="P417" s="1"/>
      <c r="T417" s="25"/>
      <c r="U417" s="328"/>
      <c r="V417" s="328"/>
      <c r="W417" s="328"/>
      <c r="X417" s="1"/>
      <c r="Y417" s="328"/>
      <c r="Z417" s="328"/>
      <c r="AA417" s="328"/>
      <c r="AB417" s="328"/>
      <c r="AC417" s="328"/>
      <c r="AD417" s="328"/>
      <c r="AE417" s="26"/>
    </row>
    <row r="418" spans="2:31" ht="16.5" thickBot="1">
      <c r="B418" s="103"/>
      <c r="C418" s="325"/>
      <c r="D418" s="60"/>
      <c r="E418" s="325"/>
      <c r="F418" s="325"/>
      <c r="G418" s="325"/>
      <c r="H418" s="325"/>
      <c r="I418" s="325"/>
      <c r="J418" s="325"/>
      <c r="K418" s="325"/>
      <c r="L418" s="325"/>
      <c r="M418" s="325"/>
      <c r="N418" s="325"/>
      <c r="O418" s="325"/>
      <c r="P418" s="1"/>
      <c r="T418" s="491" t="s">
        <v>460</v>
      </c>
      <c r="U418" s="490"/>
      <c r="V418" s="490"/>
      <c r="W418" s="490"/>
      <c r="X418" s="1"/>
      <c r="Y418" s="7">
        <f>'Mon Entreprise'!I130</f>
        <v>0</v>
      </c>
      <c r="Z418" s="133"/>
      <c r="AA418" s="21"/>
      <c r="AB418" s="7">
        <f>IF('Mon Entreprise'!I130-'Mon Entreprise'!M130&lt;0,0,'Mon Entreprise'!I130-'Mon Entreprise'!M130)</f>
        <v>0</v>
      </c>
      <c r="AC418" s="13"/>
      <c r="AD418" s="1"/>
      <c r="AE418" s="27">
        <f>IFERROR(1-'Mon Entreprise'!M130/'Mon Entreprise'!I130,0)</f>
        <v>0</v>
      </c>
    </row>
    <row r="419" spans="2:31" ht="15.75">
      <c r="B419" s="103"/>
      <c r="C419" s="325"/>
      <c r="D419" s="492" t="str">
        <f>IFERROR(IF(AND(AB462=0,AB463=0,AB464=0),"Vous ne pouvez pas bénéficier du fonds de solidarité pour le mois de Mai 2021",IF(AND(AB464&gt;AB463,AB464&gt;AB462),"Votre entreprise peut bénéficier d'une aide de "&amp;AB464&amp;"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d'outre-mer",IF(AB463&gt;AB462,"Votre entreprise peut bénéficier d'une aide de "&amp;AB463&amp;"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"&amp;AB462&amp;" €, au titre d'une perte d'au-moins 50 % de votre CA en Mai 2021"))),"Vous n'avez pas indiqué de chiffre d'affaires de référence")</f>
        <v>Vous ne pouvez pas bénéficier du fonds de solidarité pour le mois de Mai 2021</v>
      </c>
      <c r="E419" s="493"/>
      <c r="F419" s="493"/>
      <c r="G419" s="493"/>
      <c r="H419" s="493"/>
      <c r="I419" s="493"/>
      <c r="J419" s="493"/>
      <c r="K419" s="493"/>
      <c r="L419" s="493"/>
      <c r="M419" s="493"/>
      <c r="N419" s="493"/>
      <c r="O419" s="494"/>
      <c r="P419" s="1"/>
      <c r="T419" s="491" t="s">
        <v>25</v>
      </c>
      <c r="U419" s="490"/>
      <c r="V419" s="490"/>
      <c r="W419" s="490"/>
      <c r="X419" s="1"/>
      <c r="Y419" s="7">
        <f>'Mon Entreprise'!I98</f>
        <v>0</v>
      </c>
      <c r="Z419" s="133"/>
      <c r="AA419" s="21"/>
      <c r="AB419" s="7">
        <f>IF('Mon Entreprise'!I98-'Mon Entreprise'!M130&lt;0,0,'Mon Entreprise'!I98-'Mon Entreprise'!M130)</f>
        <v>0</v>
      </c>
      <c r="AC419" s="36"/>
      <c r="AD419" s="1"/>
      <c r="AE419" s="27">
        <f>IFERROR(1-'Mon Entreprise'!M130/'Mon Entreprise'!I98,0)</f>
        <v>0</v>
      </c>
    </row>
    <row r="420" spans="2:31" ht="15.75" customHeight="1">
      <c r="B420" s="103"/>
      <c r="C420" s="325"/>
      <c r="D420" s="495"/>
      <c r="E420" s="496"/>
      <c r="F420" s="496"/>
      <c r="G420" s="496"/>
      <c r="H420" s="496"/>
      <c r="I420" s="496"/>
      <c r="J420" s="496"/>
      <c r="K420" s="496"/>
      <c r="L420" s="496"/>
      <c r="M420" s="496"/>
      <c r="N420" s="496"/>
      <c r="O420" s="497"/>
      <c r="P420" s="1"/>
      <c r="T420" s="501" t="s">
        <v>22</v>
      </c>
      <c r="U420" s="502"/>
      <c r="V420" s="502"/>
      <c r="W420" s="502"/>
      <c r="X420" s="139"/>
      <c r="Y420" s="140" t="str">
        <f>IF('Mon Entreprise'!I148="","NC",'Mon Entreprise'!I148)</f>
        <v>NC</v>
      </c>
      <c r="Z420" s="191"/>
      <c r="AA420" s="192"/>
      <c r="AB420" s="143" t="str">
        <f>IFERROR(IF('Mon Entreprise'!I148-'Mon Entreprise'!M130&lt;0,0,'Mon Entreprise'!I148-'Mon Entreprise'!M130),"NC")</f>
        <v>NC</v>
      </c>
      <c r="AC420" s="193"/>
      <c r="AD420" s="139"/>
      <c r="AE420" s="146" t="str">
        <f>IFERROR(1-'Mon Entreprise'!M130/'Mon Entreprise'!I148,"NC")</f>
        <v>NC</v>
      </c>
    </row>
    <row r="421" spans="2:31" ht="15.75" customHeight="1">
      <c r="B421" s="103"/>
      <c r="C421" s="325"/>
      <c r="D421" s="495"/>
      <c r="E421" s="496"/>
      <c r="F421" s="496"/>
      <c r="G421" s="496"/>
      <c r="H421" s="496"/>
      <c r="I421" s="496"/>
      <c r="J421" s="496"/>
      <c r="K421" s="496"/>
      <c r="L421" s="496"/>
      <c r="M421" s="496"/>
      <c r="N421" s="496"/>
      <c r="O421" s="497"/>
      <c r="P421" s="1"/>
      <c r="T421" s="326"/>
      <c r="U421" s="323"/>
      <c r="V421" s="323"/>
      <c r="W421" s="323"/>
      <c r="X421" s="139"/>
      <c r="Y421" s="140"/>
      <c r="Z421" s="141"/>
      <c r="AA421" s="192"/>
      <c r="AB421" s="143"/>
      <c r="AC421" s="323"/>
      <c r="AD421" s="139"/>
      <c r="AE421" s="146"/>
    </row>
    <row r="422" spans="2:31" ht="15.75" customHeight="1">
      <c r="B422" s="103"/>
      <c r="C422" s="325"/>
      <c r="D422" s="495"/>
      <c r="E422" s="496"/>
      <c r="F422" s="496"/>
      <c r="G422" s="496"/>
      <c r="H422" s="496"/>
      <c r="I422" s="496"/>
      <c r="J422" s="496"/>
      <c r="K422" s="496"/>
      <c r="L422" s="496"/>
      <c r="M422" s="496"/>
      <c r="N422" s="496"/>
      <c r="O422" s="497"/>
      <c r="P422" s="1"/>
      <c r="T422" s="14"/>
      <c r="U422" s="1"/>
      <c r="V422" s="1"/>
      <c r="W422" s="1"/>
      <c r="X422" s="1"/>
      <c r="Y422" s="1"/>
      <c r="Z422" s="1"/>
      <c r="AA422" s="1"/>
      <c r="AB422" s="1"/>
      <c r="AC422" s="1"/>
      <c r="AD422" s="1"/>
      <c r="AE422" s="13"/>
    </row>
    <row r="423" spans="2:31" ht="15.75" customHeight="1">
      <c r="B423" s="103"/>
      <c r="C423" s="325"/>
      <c r="D423" s="495"/>
      <c r="E423" s="496"/>
      <c r="F423" s="496"/>
      <c r="G423" s="496"/>
      <c r="H423" s="496"/>
      <c r="I423" s="496"/>
      <c r="J423" s="496"/>
      <c r="K423" s="496"/>
      <c r="L423" s="496"/>
      <c r="M423" s="496"/>
      <c r="N423" s="496"/>
      <c r="O423" s="497"/>
      <c r="P423" s="1"/>
      <c r="T423" s="14"/>
      <c r="AC423" s="1"/>
      <c r="AD423" s="1"/>
      <c r="AE423" s="13"/>
    </row>
    <row r="424" spans="2:31" ht="15.75" customHeight="1" thickBot="1">
      <c r="B424" s="103"/>
      <c r="C424" s="325"/>
      <c r="D424" s="498"/>
      <c r="E424" s="499"/>
      <c r="F424" s="499"/>
      <c r="G424" s="499"/>
      <c r="H424" s="499"/>
      <c r="I424" s="499"/>
      <c r="J424" s="499"/>
      <c r="K424" s="499"/>
      <c r="L424" s="499"/>
      <c r="M424" s="499"/>
      <c r="N424" s="499"/>
      <c r="O424" s="500"/>
      <c r="P424" s="1"/>
      <c r="T424" s="14"/>
      <c r="AC424" s="1"/>
      <c r="AD424" s="1"/>
      <c r="AE424" s="13"/>
    </row>
    <row r="425" spans="2:31" ht="16.5" customHeight="1">
      <c r="B425" s="103"/>
      <c r="C425" s="325"/>
      <c r="D425" s="330" t="s">
        <v>462</v>
      </c>
      <c r="E425" s="325"/>
      <c r="F425" s="325"/>
      <c r="G425" s="325"/>
      <c r="H425" s="325"/>
      <c r="I425" s="325"/>
      <c r="J425" s="325"/>
      <c r="K425" s="325"/>
      <c r="L425" s="325"/>
      <c r="M425" s="325"/>
      <c r="N425" s="325"/>
      <c r="O425" s="325"/>
      <c r="P425" s="1"/>
      <c r="T425" s="14"/>
      <c r="AC425" s="1"/>
      <c r="AD425" s="1"/>
      <c r="AE425" s="13"/>
    </row>
    <row r="426" spans="2:31" ht="15.75" hidden="1">
      <c r="B426" s="103"/>
      <c r="C426" s="78"/>
      <c r="D426" s="78"/>
      <c r="E426" s="78"/>
      <c r="F426" s="78"/>
      <c r="G426" s="78"/>
      <c r="H426" s="78"/>
      <c r="I426" s="78"/>
      <c r="J426" s="78"/>
      <c r="K426" s="78"/>
      <c r="L426" s="78"/>
      <c r="M426" s="78"/>
      <c r="N426" s="78"/>
      <c r="O426" s="78"/>
      <c r="P426" s="1"/>
      <c r="T426" s="14"/>
      <c r="U426" s="1"/>
      <c r="V426" s="1"/>
      <c r="W426" s="1"/>
      <c r="X426" s="1"/>
      <c r="Y426" s="1"/>
      <c r="Z426" s="1"/>
      <c r="AA426" s="1"/>
      <c r="AB426" s="1"/>
      <c r="AC426" s="1"/>
      <c r="AD426" s="1"/>
      <c r="AE426" s="13"/>
    </row>
    <row r="427" spans="2:31" ht="15.75" hidden="1">
      <c r="B427" s="103"/>
      <c r="C427" s="325"/>
      <c r="D427" s="60"/>
      <c r="E427" s="325"/>
      <c r="F427" s="325"/>
      <c r="G427" s="325"/>
      <c r="H427" s="325"/>
      <c r="I427" s="325"/>
      <c r="J427" s="325"/>
      <c r="K427" s="325"/>
      <c r="L427" s="325"/>
      <c r="M427" s="325"/>
      <c r="N427" s="325"/>
      <c r="O427" s="325"/>
      <c r="P427" s="1"/>
      <c r="T427" s="14"/>
      <c r="U427" s="1"/>
      <c r="V427" s="1"/>
      <c r="W427" s="1"/>
      <c r="X427" s="1"/>
      <c r="Y427" s="1"/>
      <c r="Z427" s="1"/>
      <c r="AA427" s="1"/>
      <c r="AB427" s="1"/>
      <c r="AC427" s="1"/>
      <c r="AD427" s="1"/>
      <c r="AE427" s="13"/>
    </row>
    <row r="428" spans="2:31" ht="15.75" hidden="1">
      <c r="B428" s="103"/>
      <c r="C428" s="325" t="s">
        <v>463</v>
      </c>
      <c r="D428" s="60"/>
      <c r="E428" s="325"/>
      <c r="F428" s="325"/>
      <c r="G428" s="325"/>
      <c r="H428" s="325"/>
      <c r="I428" s="325"/>
      <c r="J428" s="325"/>
      <c r="K428" s="325"/>
      <c r="L428" s="325"/>
      <c r="M428" s="325"/>
      <c r="N428" s="325"/>
      <c r="O428" s="325"/>
      <c r="P428" s="1"/>
      <c r="T428" s="14"/>
      <c r="U428" s="1"/>
      <c r="V428" s="1"/>
      <c r="W428" s="1"/>
      <c r="X428" s="1"/>
      <c r="Y428" s="1"/>
      <c r="Z428" s="1"/>
      <c r="AA428" s="1"/>
      <c r="AB428" s="1"/>
      <c r="AC428" s="1"/>
      <c r="AD428" s="1"/>
      <c r="AE428" s="13"/>
    </row>
    <row r="429" spans="2:31" ht="15.75" hidden="1">
      <c r="B429" s="103"/>
      <c r="C429" s="319" t="s">
        <v>466</v>
      </c>
      <c r="D429" s="60"/>
      <c r="E429" s="325"/>
      <c r="F429" s="325"/>
      <c r="G429" s="325"/>
      <c r="H429" s="325"/>
      <c r="I429" s="325"/>
      <c r="J429" s="325"/>
      <c r="K429" s="325"/>
      <c r="L429" s="325"/>
      <c r="M429" s="325"/>
      <c r="N429" s="325"/>
      <c r="O429" s="325"/>
      <c r="P429" s="1"/>
      <c r="T429" s="14"/>
      <c r="U429" s="506" t="s">
        <v>72</v>
      </c>
      <c r="V429" s="506"/>
      <c r="W429" s="506"/>
      <c r="X429" s="506"/>
      <c r="Y429" s="506"/>
      <c r="Z429" s="1"/>
      <c r="AA429" s="14"/>
      <c r="AB429" s="323" t="str">
        <f>IF('Mon Entreprise'!K8&lt;=Annexes!R15,"Oui","Non")</f>
        <v>Oui</v>
      </c>
      <c r="AC429" s="1"/>
      <c r="AD429" s="1"/>
      <c r="AE429" s="13"/>
    </row>
    <row r="430" spans="2:31" ht="15.75" hidden="1">
      <c r="B430" s="168"/>
      <c r="C430" s="325"/>
      <c r="D430" s="60" t="str">
        <f>IFERROR(IF('Mon Entreprise'!K8&gt;=Annexes!O20,IF(AB418&gt;=AB420,"Le CA de référence est celui de Mai 2019, soit une perte de "&amp;ROUND(AB418,0)&amp;" €"&amp;" ==&gt; "&amp;ROUND(AE418*100,0)&amp;" %","Le CA de référence est celui de la création, soit une perte de "&amp;ROUND(AB420,0)&amp;" €"&amp;" ==&gt; "&amp;ROUND(AE420*100,0)&amp;" %"),IF(AB418&gt;=AB419,"Le CA de référence est celui de Mai 2019, soit une perte de "&amp;ROUND(AB418,0)&amp;" €"&amp;" ==&gt; "&amp;ROUND(AE418*100,0)&amp;" %","Le CA de référence est celui de l'exercice 2019, soit une perte de "&amp;ROUND(AB419,0)&amp;" €"&amp;" ==&gt; "&amp;ROUND(AE419*100,0)&amp;" %")),"")</f>
        <v>Le CA de référence est celui de Mai 2019, soit une perte de 0 € ==&gt; 0 %</v>
      </c>
      <c r="E430" s="325"/>
      <c r="F430" s="325"/>
      <c r="G430" s="325"/>
      <c r="H430" s="325"/>
      <c r="I430" s="325"/>
      <c r="J430" s="325"/>
      <c r="K430" s="325"/>
      <c r="L430" s="325"/>
      <c r="M430" s="325"/>
      <c r="N430" s="325"/>
      <c r="O430" s="325"/>
      <c r="P430" s="1"/>
      <c r="T430" s="14"/>
      <c r="U430" s="322"/>
      <c r="V430" s="506" t="s">
        <v>393</v>
      </c>
      <c r="W430" s="506"/>
      <c r="X430" s="506"/>
      <c r="Y430" s="506"/>
      <c r="Z430" s="1"/>
      <c r="AA430" s="14"/>
      <c r="AB430" s="323">
        <f>IF('Mon Entreprise'!K8&gt;=Annexes!O20,IF(Y418&gt;=Y420,Y418,Y420),IF(Y418&gt;=Y419,Y418,Y419))</f>
        <v>0</v>
      </c>
      <c r="AC430" s="1"/>
      <c r="AD430" s="1"/>
      <c r="AE430" s="13"/>
    </row>
    <row r="431" spans="2:31" ht="15.75" hidden="1">
      <c r="B431" s="168"/>
      <c r="C431" s="325"/>
      <c r="D431" s="507"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 de prendre"&amp;" celui de Mai 2019 (...), soit "&amp;ROUND(AB418,0)&amp;" €"&amp;" ==&gt; "&amp;ROUND(AE418*100,0)&amp;" %","A noter qu'il convient de choisir l'option retenue par l'entreprise lors de sa demande au titre du mois Février 2021, ou "&amp;"a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31" s="507"/>
      <c r="F431" s="507"/>
      <c r="G431" s="507"/>
      <c r="H431" s="507"/>
      <c r="I431" s="507"/>
      <c r="J431" s="507"/>
      <c r="K431" s="507"/>
      <c r="L431" s="507"/>
      <c r="M431" s="507"/>
      <c r="N431" s="507"/>
      <c r="O431" s="507"/>
      <c r="P431" s="1"/>
      <c r="T431" s="14"/>
      <c r="U431" s="506" t="s">
        <v>84</v>
      </c>
      <c r="V431" s="506"/>
      <c r="W431" s="506"/>
      <c r="X431" s="506"/>
      <c r="Y431" s="506"/>
      <c r="Z431" s="1"/>
      <c r="AA431" s="14"/>
      <c r="AB431" s="324">
        <f>IF('Mon Entreprise'!K8&gt;=Annexes!O20,IF(AB418&gt;=AB420,AB418,AB420),IF(AB418&gt;=AB419,AB418,AB419))</f>
        <v>0</v>
      </c>
      <c r="AC431" s="1"/>
      <c r="AD431" s="1"/>
      <c r="AE431" s="13"/>
    </row>
    <row r="432" spans="2:31" ht="15.75" hidden="1">
      <c r="B432" s="168"/>
      <c r="C432" s="325"/>
      <c r="D432" s="507"/>
      <c r="E432" s="507"/>
      <c r="F432" s="507"/>
      <c r="G432" s="507"/>
      <c r="H432" s="507"/>
      <c r="I432" s="507"/>
      <c r="J432" s="507"/>
      <c r="K432" s="507"/>
      <c r="L432" s="507"/>
      <c r="M432" s="507"/>
      <c r="N432" s="507"/>
      <c r="O432" s="507"/>
      <c r="P432" s="1"/>
      <c r="T432" s="14"/>
      <c r="U432" s="506" t="s">
        <v>85</v>
      </c>
      <c r="V432" s="506"/>
      <c r="W432" s="506"/>
      <c r="X432" s="506"/>
      <c r="Y432" s="506"/>
      <c r="Z432" s="1"/>
      <c r="AA432" s="14"/>
      <c r="AB432" s="19">
        <f>IF('Mon Entreprise'!K8&gt;=Annexes!O20,IF(AB418&gt;=AB420,AE418,AE420),IF(AB418&gt;=AB419,AE418,AE419))</f>
        <v>0</v>
      </c>
      <c r="AC432" s="1"/>
      <c r="AD432" s="1"/>
      <c r="AE432" s="13"/>
    </row>
    <row r="433" spans="1:31" ht="16.5" hidden="1" thickBot="1">
      <c r="B433" s="103"/>
      <c r="C433" s="325"/>
      <c r="D433" s="60"/>
      <c r="E433" s="325"/>
      <c r="F433" s="325"/>
      <c r="G433" s="325"/>
      <c r="H433" s="325"/>
      <c r="I433" s="325"/>
      <c r="J433" s="325"/>
      <c r="K433" s="325"/>
      <c r="L433" s="325"/>
      <c r="M433" s="325"/>
      <c r="N433" s="325"/>
      <c r="O433" s="325"/>
      <c r="P433" s="1"/>
      <c r="T433" s="14"/>
      <c r="U433" s="1"/>
      <c r="V433" s="1"/>
      <c r="W433" s="1"/>
      <c r="X433" s="1"/>
      <c r="Y433" s="1"/>
      <c r="Z433" s="1"/>
      <c r="AA433" s="1"/>
      <c r="AB433" s="1"/>
      <c r="AC433" s="1"/>
      <c r="AD433" s="1"/>
      <c r="AE433" s="13"/>
    </row>
    <row r="434" spans="1:31" ht="15.75" hidden="1">
      <c r="B434" s="168"/>
      <c r="C434" s="325"/>
      <c r="D434" s="508" t="str">
        <f>IFERROR(IF(AB429="Non","Vous avez débuté votre activité après le 31 Janvier 2020, vous ne pouvez donc pas bénéficier de cette aide",IF(OR(AB445=TRUE,AND(AB432&lt;0.5,AB446=TRUE),(AB432&gt;=0.5)),IF(AB431&gt;Annexes!O5,"Dans votre cas, l'aide est Plafonnée, à "&amp;Annexes!O5&amp;" € pour le mois de Mai","Vous pouvez bénéficier, au titre de cette aide, d'un montant de "&amp;ROUND(AB431,0)&amp;" € pour le mois de Mai"),"L'entreprise n'a pas une perte d'au moins 50 % en Mai 2021 ou n'a pas été en fermeture Administrative")),"Vous n'avez pas indiqué de chiffre d'affaires de référence")</f>
        <v>L'entreprise n'a pas une perte d'au moins 50 % en Mai 2021 ou n'a pas été en fermeture Administrative</v>
      </c>
      <c r="E434" s="509"/>
      <c r="F434" s="509"/>
      <c r="G434" s="509"/>
      <c r="H434" s="509"/>
      <c r="I434" s="509"/>
      <c r="J434" s="509"/>
      <c r="K434" s="509"/>
      <c r="L434" s="509"/>
      <c r="M434" s="509"/>
      <c r="N434" s="509"/>
      <c r="O434" s="510"/>
      <c r="P434" s="1"/>
      <c r="T434" s="14"/>
      <c r="U434" s="1"/>
      <c r="V434" s="1"/>
      <c r="W434" s="1"/>
      <c r="X434" s="1"/>
      <c r="Y434" s="1"/>
      <c r="Z434" s="1"/>
      <c r="AA434" s="1"/>
      <c r="AB434" s="1"/>
      <c r="AC434" s="1"/>
      <c r="AD434" s="1"/>
      <c r="AE434" s="13"/>
    </row>
    <row r="435" spans="1:31" ht="15.75" hidden="1" customHeight="1">
      <c r="B435" s="168"/>
      <c r="C435" s="325"/>
      <c r="D435" s="511"/>
      <c r="E435" s="512"/>
      <c r="F435" s="512"/>
      <c r="G435" s="512"/>
      <c r="H435" s="512"/>
      <c r="I435" s="512"/>
      <c r="J435" s="512"/>
      <c r="K435" s="512"/>
      <c r="L435" s="512"/>
      <c r="M435" s="512"/>
      <c r="N435" s="512"/>
      <c r="O435" s="513"/>
      <c r="P435" s="1"/>
      <c r="T435" s="14"/>
      <c r="U435" s="1"/>
      <c r="V435" s="1"/>
      <c r="W435" s="1"/>
      <c r="X435" s="1"/>
      <c r="Y435" s="1"/>
      <c r="Z435" s="1"/>
      <c r="AA435" s="1"/>
      <c r="AB435" s="1"/>
      <c r="AC435" s="1"/>
      <c r="AD435" s="1"/>
      <c r="AE435" s="13"/>
    </row>
    <row r="436" spans="1:31" ht="15.75" hidden="1" customHeight="1">
      <c r="B436" s="103"/>
      <c r="C436" s="325"/>
      <c r="D436" s="511"/>
      <c r="E436" s="512"/>
      <c r="F436" s="512"/>
      <c r="G436" s="512"/>
      <c r="H436" s="512"/>
      <c r="I436" s="512"/>
      <c r="J436" s="512"/>
      <c r="K436" s="512"/>
      <c r="L436" s="512"/>
      <c r="M436" s="512"/>
      <c r="N436" s="512"/>
      <c r="O436" s="513"/>
      <c r="P436" s="1"/>
      <c r="T436" s="14"/>
      <c r="U436" s="1"/>
      <c r="V436" s="1"/>
      <c r="W436" s="1"/>
      <c r="X436" s="1"/>
      <c r="Y436" s="1"/>
      <c r="Z436" s="1"/>
      <c r="AA436" s="1"/>
      <c r="AB436" s="1"/>
      <c r="AC436" s="1"/>
      <c r="AD436" s="1"/>
      <c r="AE436" s="13"/>
    </row>
    <row r="437" spans="1:31" ht="15.75" hidden="1" customHeight="1" thickBot="1">
      <c r="B437" s="103"/>
      <c r="C437" s="325"/>
      <c r="D437" s="514"/>
      <c r="E437" s="515"/>
      <c r="F437" s="515"/>
      <c r="G437" s="515"/>
      <c r="H437" s="515"/>
      <c r="I437" s="515"/>
      <c r="J437" s="515"/>
      <c r="K437" s="515"/>
      <c r="L437" s="515"/>
      <c r="M437" s="515"/>
      <c r="N437" s="515"/>
      <c r="O437" s="516"/>
      <c r="P437" s="1"/>
      <c r="T437" s="14"/>
      <c r="U437" s="1"/>
      <c r="V437" s="1"/>
      <c r="W437" s="1"/>
      <c r="X437" s="1"/>
      <c r="Y437" s="1"/>
      <c r="Z437" s="1"/>
      <c r="AA437" s="1"/>
      <c r="AB437" s="1"/>
      <c r="AC437" s="1"/>
      <c r="AD437" s="1"/>
      <c r="AE437" s="13"/>
    </row>
    <row r="438" spans="1:31" ht="16.5" hidden="1" customHeight="1">
      <c r="B438" s="103"/>
      <c r="C438" s="169"/>
      <c r="D438" s="517"/>
      <c r="E438" s="517"/>
      <c r="F438" s="517"/>
      <c r="G438" s="517"/>
      <c r="H438" s="517"/>
      <c r="I438" s="517"/>
      <c r="J438" s="517"/>
      <c r="K438" s="517"/>
      <c r="L438" s="517"/>
      <c r="M438" s="517"/>
      <c r="N438" s="517"/>
      <c r="O438" s="517"/>
      <c r="P438" s="1"/>
      <c r="T438" s="518" t="s">
        <v>4</v>
      </c>
      <c r="U438" s="519"/>
      <c r="V438" s="519"/>
      <c r="W438" s="519"/>
      <c r="X438" s="519"/>
      <c r="Y438" s="519"/>
      <c r="Z438" s="139"/>
      <c r="AA438" s="145"/>
      <c r="AB438" s="194">
        <f>IFERROR(IF('Mon Entreprise'!K8&gt;=Annexes!Q18,0,1-'Mon Entreprise'!M118/2/AB430),0)</f>
        <v>0</v>
      </c>
      <c r="AC438" s="1"/>
      <c r="AD438" s="1"/>
      <c r="AE438" s="13"/>
    </row>
    <row r="439" spans="1:31" ht="16.5" hidden="1" customHeight="1">
      <c r="B439" s="103"/>
      <c r="C439" s="325"/>
      <c r="D439" s="306"/>
      <c r="E439" s="306"/>
      <c r="F439" s="306"/>
      <c r="G439" s="306"/>
      <c r="H439" s="306"/>
      <c r="I439" s="306"/>
      <c r="J439" s="306"/>
      <c r="K439" s="306"/>
      <c r="L439" s="306"/>
      <c r="M439" s="306"/>
      <c r="N439" s="306"/>
      <c r="O439" s="306"/>
      <c r="P439" s="1"/>
      <c r="T439" s="110"/>
      <c r="U439" s="520" t="s">
        <v>102</v>
      </c>
      <c r="V439" s="520"/>
      <c r="W439" s="520"/>
      <c r="X439" s="520"/>
      <c r="Y439" s="520"/>
      <c r="Z439" s="139"/>
      <c r="AA439" s="145"/>
      <c r="AB439" s="194">
        <f>IFERROR(IF('Mon Entreprise'!K8&gt;Annexes!Q29,0,IF('Mon Entreprise'!K8&gt;Annexes!Q26,1,1-'Mon Entreprise'!M114/AB430)),0)</f>
        <v>0</v>
      </c>
      <c r="AC439" s="1"/>
      <c r="AD439" s="1"/>
      <c r="AE439" s="13"/>
    </row>
    <row r="440" spans="1:31" ht="16.5" hidden="1" customHeight="1">
      <c r="B440" s="103"/>
      <c r="C440" s="505" t="s">
        <v>465</v>
      </c>
      <c r="D440" s="505"/>
      <c r="E440" s="505"/>
      <c r="F440" s="505"/>
      <c r="G440" s="505"/>
      <c r="H440" s="505"/>
      <c r="I440" s="505"/>
      <c r="J440" s="505"/>
      <c r="K440" s="505"/>
      <c r="L440" s="505"/>
      <c r="M440" s="505"/>
      <c r="N440" s="505"/>
      <c r="O440" s="505"/>
      <c r="P440" s="1"/>
      <c r="T440" s="110"/>
      <c r="U440" s="520" t="s">
        <v>109</v>
      </c>
      <c r="V440" s="520"/>
      <c r="W440" s="520"/>
      <c r="X440" s="520"/>
      <c r="Y440" s="520"/>
      <c r="Z440" s="139"/>
      <c r="AA440" s="145"/>
      <c r="AB440" s="194">
        <f>IFERROR(IF(Annexes!O27&gt;'Mon Entreprise'!K8,1-'Mon Entreprise'!M98/'Mon Entreprise'!I98,0),0)</f>
        <v>0</v>
      </c>
      <c r="AC440" s="1"/>
      <c r="AD440" s="1"/>
      <c r="AE440" s="13"/>
    </row>
    <row r="441" spans="1:31" ht="16.5" hidden="1" customHeight="1">
      <c r="B441" s="103"/>
      <c r="C441" s="505"/>
      <c r="D441" s="505"/>
      <c r="E441" s="505"/>
      <c r="F441" s="505"/>
      <c r="G441" s="505"/>
      <c r="H441" s="505"/>
      <c r="I441" s="505"/>
      <c r="J441" s="505"/>
      <c r="K441" s="505"/>
      <c r="L441" s="505"/>
      <c r="M441" s="505"/>
      <c r="N441" s="505"/>
      <c r="O441" s="505"/>
      <c r="P441" s="1"/>
      <c r="T441" s="110"/>
      <c r="U441" s="321"/>
      <c r="V441" s="321"/>
      <c r="W441" s="321"/>
      <c r="X441" s="321"/>
      <c r="Y441" s="321"/>
      <c r="Z441" s="139"/>
      <c r="AA441" s="145"/>
      <c r="AB441" s="194"/>
      <c r="AC441" s="1"/>
      <c r="AD441" s="1"/>
      <c r="AE441" s="13"/>
    </row>
    <row r="442" spans="1:31" ht="16.5" hidden="1" customHeight="1">
      <c r="B442" s="103"/>
      <c r="C442" s="505"/>
      <c r="D442" s="505"/>
      <c r="E442" s="505"/>
      <c r="F442" s="505"/>
      <c r="G442" s="505"/>
      <c r="H442" s="505"/>
      <c r="I442" s="505"/>
      <c r="J442" s="505"/>
      <c r="K442" s="505"/>
      <c r="L442" s="505"/>
      <c r="M442" s="505"/>
      <c r="N442" s="505"/>
      <c r="O442" s="505"/>
      <c r="P442" s="1"/>
      <c r="T442" s="14"/>
      <c r="U442" s="521" t="s">
        <v>8</v>
      </c>
      <c r="V442" s="521"/>
      <c r="W442" s="521"/>
      <c r="X442" s="521"/>
      <c r="Y442" s="521"/>
      <c r="Z442" s="1"/>
      <c r="AA442" s="14"/>
      <c r="AB442" s="324" t="str">
        <f>IF((AND(Annexes!F5&gt;1,Annexes!F5&lt;=Annexes!H6)),"OUI","NON")</f>
        <v>NON</v>
      </c>
      <c r="AC442" s="1"/>
      <c r="AD442" s="1"/>
      <c r="AE442" s="13"/>
    </row>
    <row r="443" spans="1:31" ht="16.5" hidden="1" customHeight="1">
      <c r="B443" s="103"/>
      <c r="C443" s="505"/>
      <c r="D443" s="505"/>
      <c r="E443" s="505"/>
      <c r="F443" s="505"/>
      <c r="G443" s="505"/>
      <c r="H443" s="505"/>
      <c r="I443" s="505"/>
      <c r="J443" s="505"/>
      <c r="K443" s="505"/>
      <c r="L443" s="505"/>
      <c r="M443" s="505"/>
      <c r="N443" s="505"/>
      <c r="O443" s="505"/>
      <c r="P443" s="1"/>
      <c r="T443" s="14"/>
      <c r="U443" s="327"/>
      <c r="V443" s="327"/>
      <c r="W443" s="327"/>
      <c r="X443" s="327"/>
      <c r="Y443" s="327" t="s">
        <v>9</v>
      </c>
      <c r="Z443" s="1"/>
      <c r="AA443" s="14"/>
      <c r="AB443" s="324" t="str">
        <f>IF(AND(Annexes!F7&gt;1,Annexes!F7&lt;=Annexes!H8),"OUI","NON")</f>
        <v>NON</v>
      </c>
      <c r="AC443" s="1"/>
      <c r="AD443" s="1"/>
      <c r="AE443" s="13"/>
    </row>
    <row r="444" spans="1:31" ht="16.5" hidden="1" customHeight="1">
      <c r="B444" s="103"/>
      <c r="C444" s="325"/>
      <c r="D444" s="306"/>
      <c r="E444" s="417" t="str">
        <f>IF(AB448="NON","",IF(OR(AB442="OUI",AND(OR(AB444="OUI",AB443="OUI"),OR(AB438&gt;=Annexes!P5,AB439&gt;=Annexes!P5,'Mes Aides'!AB145&gt;=0.1)),AB445=TRUE,AB446=TRUE),"",IF(AND(OR(AB444="OUI",AB443="OUI"),OR(AB438&lt;Annexes!P5,AB439&lt;Annexes!P5,'Mes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444" s="417"/>
      <c r="G444" s="417"/>
      <c r="H444" s="417"/>
      <c r="I444" s="417"/>
      <c r="J444" s="417"/>
      <c r="K444" s="417"/>
      <c r="L444" s="417"/>
      <c r="M444" s="417"/>
      <c r="N444" s="417"/>
      <c r="O444" s="417"/>
      <c r="P444" s="1"/>
      <c r="T444" s="491" t="s">
        <v>455</v>
      </c>
      <c r="U444" s="490"/>
      <c r="V444" s="490"/>
      <c r="W444" s="490"/>
      <c r="X444" s="490"/>
      <c r="Y444" s="490"/>
      <c r="Z444" s="1"/>
      <c r="AA444" s="14"/>
      <c r="AB444" s="324" t="str">
        <f>IF(OR(Annexes!M17=TRUE,Annexes!M23=TRUE,Annexes!M24=TRUE),"OUI","NON")</f>
        <v>NON</v>
      </c>
      <c r="AC444" s="1"/>
      <c r="AD444" s="1"/>
      <c r="AE444" s="13"/>
    </row>
    <row r="445" spans="1:31" ht="16.5" hidden="1" customHeight="1">
      <c r="B445" s="103"/>
      <c r="C445" s="325"/>
      <c r="D445" s="306"/>
      <c r="E445" s="417"/>
      <c r="F445" s="417"/>
      <c r="G445" s="417"/>
      <c r="H445" s="417"/>
      <c r="I445" s="417"/>
      <c r="J445" s="417"/>
      <c r="K445" s="417"/>
      <c r="L445" s="417"/>
      <c r="M445" s="417"/>
      <c r="N445" s="417"/>
      <c r="O445" s="417"/>
      <c r="P445" s="1"/>
      <c r="T445" s="14"/>
      <c r="U445" s="490" t="s">
        <v>313</v>
      </c>
      <c r="V445" s="490"/>
      <c r="W445" s="490"/>
      <c r="X445" s="490"/>
      <c r="Y445" s="490"/>
      <c r="Z445" s="1"/>
      <c r="AA445" s="14"/>
      <c r="AB445" s="324" t="b">
        <f>IF(Annexes!M32=TRUE,TRUE,FALSE)</f>
        <v>0</v>
      </c>
      <c r="AC445" s="1"/>
      <c r="AD445" s="1"/>
      <c r="AE445" s="13"/>
    </row>
    <row r="446" spans="1:31" ht="16.5" hidden="1" customHeight="1">
      <c r="B446" s="168"/>
      <c r="C446" s="325"/>
      <c r="D446" s="306"/>
      <c r="E446" s="417"/>
      <c r="F446" s="417"/>
      <c r="G446" s="417"/>
      <c r="H446" s="417"/>
      <c r="I446" s="417"/>
      <c r="J446" s="417"/>
      <c r="K446" s="417"/>
      <c r="L446" s="417"/>
      <c r="M446" s="417"/>
      <c r="N446" s="417"/>
      <c r="O446" s="417"/>
      <c r="P446" s="1"/>
      <c r="T446" s="14"/>
      <c r="U446" s="490" t="s">
        <v>394</v>
      </c>
      <c r="V446" s="490"/>
      <c r="W446" s="490"/>
      <c r="X446" s="490"/>
      <c r="Y446" s="490"/>
      <c r="Z446" s="1"/>
      <c r="AA446" s="14"/>
      <c r="AB446" s="324" t="b">
        <f>IF(Annexes!M33=TRUE,TRUE,FALSE)</f>
        <v>0</v>
      </c>
      <c r="AC446" s="1"/>
      <c r="AD446" s="1"/>
      <c r="AE446" s="13"/>
    </row>
    <row r="447" spans="1:31" ht="16.5" hidden="1" customHeight="1">
      <c r="A447" s="99"/>
      <c r="B447" s="103"/>
      <c r="C447" s="325"/>
      <c r="D447" s="523"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47" s="523"/>
      <c r="F447" s="523"/>
      <c r="G447" s="523"/>
      <c r="H447" s="523"/>
      <c r="I447" s="523"/>
      <c r="J447" s="523"/>
      <c r="K447" s="523"/>
      <c r="L447" s="523"/>
      <c r="M447" s="523"/>
      <c r="N447" s="523"/>
      <c r="O447" s="523"/>
      <c r="P447" s="1"/>
      <c r="T447" s="14"/>
      <c r="U447" s="324"/>
      <c r="V447" s="324"/>
      <c r="W447" s="324"/>
      <c r="X447" s="324"/>
      <c r="Y447" s="324"/>
      <c r="Z447" s="1"/>
      <c r="AA447" s="14"/>
      <c r="AB447" s="324"/>
      <c r="AC447" s="1"/>
      <c r="AD447" s="1"/>
      <c r="AE447" s="13"/>
    </row>
    <row r="448" spans="1:31" ht="16.5" hidden="1" customHeight="1">
      <c r="A448" s="99"/>
      <c r="B448" s="103"/>
      <c r="C448" s="325"/>
      <c r="D448" s="524" t="str">
        <f>IFERROR(IF('Mon Entreprise'!K8&gt;=Annexes!O20,"",IF(AB418&lt;AB419,"A noter qu'il convient de choisir l'option retenue par l'entreprise lors de sa demande au titre du mois Février 2021, ou a défaut celui du mois de Mars, d'Avril 2021, si le CA de référence était celui de février 2019,"&amp;" il convient de prendre celui de Mai 2019 (...), soit "&amp;ROUND(AB418,0)&amp;" €"&amp;" ==&gt; "&amp;ROUND(AE418*100,0)&amp;" %","A noter qu'il convient de choisir l'option retenue par l'entreprise lors de sa demande"&amp;" au titre du mois Février 2021,  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48" s="524"/>
      <c r="F448" s="524"/>
      <c r="G448" s="524"/>
      <c r="H448" s="524"/>
      <c r="I448" s="524"/>
      <c r="J448" s="524"/>
      <c r="K448" s="524"/>
      <c r="L448" s="524"/>
      <c r="M448" s="524"/>
      <c r="N448" s="524"/>
      <c r="O448" s="524"/>
      <c r="P448" s="1"/>
      <c r="T448" s="14"/>
      <c r="U448" s="525" t="s">
        <v>72</v>
      </c>
      <c r="V448" s="525"/>
      <c r="W448" s="525"/>
      <c r="X448" s="525"/>
      <c r="Y448" s="525"/>
      <c r="Z448" s="139"/>
      <c r="AA448" s="145"/>
      <c r="AB448" s="323" t="str">
        <f>IF(AB429="Oui","Oui","Non")</f>
        <v>Oui</v>
      </c>
      <c r="AC448" s="139"/>
      <c r="AD448" s="1"/>
      <c r="AE448" s="13"/>
    </row>
    <row r="449" spans="1:31" ht="16.5" hidden="1" customHeight="1">
      <c r="A449" s="99"/>
      <c r="B449" s="103"/>
      <c r="C449" s="325"/>
      <c r="D449" s="524"/>
      <c r="E449" s="524"/>
      <c r="F449" s="524"/>
      <c r="G449" s="524"/>
      <c r="H449" s="524"/>
      <c r="I449" s="524"/>
      <c r="J449" s="524"/>
      <c r="K449" s="524"/>
      <c r="L449" s="524"/>
      <c r="M449" s="524"/>
      <c r="N449" s="524"/>
      <c r="O449" s="524"/>
      <c r="P449" s="1"/>
      <c r="T449" s="14"/>
      <c r="U449" s="525" t="s">
        <v>84</v>
      </c>
      <c r="V449" s="525"/>
      <c r="W449" s="525"/>
      <c r="X449" s="525"/>
      <c r="Y449" s="525"/>
      <c r="Z449" s="139"/>
      <c r="AA449" s="145"/>
      <c r="AB449" s="323">
        <f>IF('Mon Entreprise'!K8&gt;=Annexes!O20,IF(AB418&gt;=AB420,AB418,AB420),IF(AB418&gt;=AB419,AB418,AB419))</f>
        <v>0</v>
      </c>
      <c r="AC449" s="139"/>
      <c r="AD449" s="1"/>
      <c r="AE449" s="13"/>
    </row>
    <row r="450" spans="1:31" ht="16.5" hidden="1" customHeight="1">
      <c r="B450" s="103"/>
      <c r="C450" s="325"/>
      <c r="D450" s="215" t="str">
        <f>IF(OR(AB442="OUI",AB445=TRUE),"- Sans ticket modérateur",IF(AND(OR(AB444="OUI",AB443="OUI"),OR(AB438&gt;=0.8,AB439&gt;=0.8,AB440&gt;=0.1)),"- La Perte de référence est plafonnée à 80 %, soit "&amp;ROUND(AB453,0)&amp;" €","- Sans ticket modérateur"))</f>
        <v>- Sans ticket modérateur</v>
      </c>
      <c r="E450" s="320"/>
      <c r="F450" s="320"/>
      <c r="G450" s="320"/>
      <c r="H450" s="320"/>
      <c r="I450" s="320"/>
      <c r="J450" s="320"/>
      <c r="K450" s="320"/>
      <c r="L450" s="320"/>
      <c r="M450" s="320"/>
      <c r="N450" s="320"/>
      <c r="O450" s="320"/>
      <c r="P450" s="1"/>
      <c r="T450" s="14"/>
      <c r="U450" s="525" t="s">
        <v>85</v>
      </c>
      <c r="V450" s="525"/>
      <c r="W450" s="525"/>
      <c r="X450" s="525"/>
      <c r="Y450" s="525"/>
      <c r="Z450" s="139"/>
      <c r="AA450" s="145"/>
      <c r="AB450" s="323">
        <f>IF('Mon Entreprise'!K8&gt;=Annexes!O20,IF(AB418&gt;=AB420,AE418,AE420),IF(AB418&gt;=AB419,AE418,AE419))</f>
        <v>0</v>
      </c>
      <c r="AC450" s="139"/>
      <c r="AD450" s="1"/>
      <c r="AE450" s="13"/>
    </row>
    <row r="451" spans="1:31" ht="16.5" hidden="1" customHeight="1" thickBot="1">
      <c r="B451" s="103"/>
      <c r="C451" s="325"/>
      <c r="D451" s="320"/>
      <c r="E451" s="320"/>
      <c r="F451" s="320"/>
      <c r="G451" s="320"/>
      <c r="H451" s="320"/>
      <c r="I451" s="320"/>
      <c r="J451" s="320"/>
      <c r="K451" s="320"/>
      <c r="L451" s="320"/>
      <c r="M451" s="320"/>
      <c r="N451" s="320"/>
      <c r="O451" s="320"/>
      <c r="P451" s="1"/>
      <c r="T451" s="14"/>
      <c r="U451" s="502" t="s">
        <v>74</v>
      </c>
      <c r="V451" s="502"/>
      <c r="W451" s="502"/>
      <c r="X451" s="502"/>
      <c r="Y451" s="502"/>
      <c r="Z451" s="139"/>
      <c r="AA451" s="145"/>
      <c r="AB451" s="323">
        <f>IF(OR(AB442="OUI",AB445=TRUE),1,IF(AND(OR(AB444="OUI",AB443="OUI"),OR(AB438&gt;=0.8,AB439&gt;=0.8,AB440&gt;=0.1)),0.8,1))</f>
        <v>1</v>
      </c>
      <c r="AC451" s="139"/>
      <c r="AD451" s="1"/>
      <c r="AE451" s="13"/>
    </row>
    <row r="452" spans="1:31" ht="16.5" hidden="1" customHeight="1">
      <c r="B452" s="103"/>
      <c r="C452" s="325"/>
      <c r="D452" s="508" t="str">
        <f>IFERROR(IF(AB448="NON","Vous avez débuté votre activité après le 31 Janvier 2020, vous ne pouvez donc pas bénéficier de cette aide",IF(OR(AB445=TRUE,AND(AB446=TRUE,AB450&gt;=0.5)),IF(AB453&gt;Annexes!O6,"Dans votre cas, l'aide est Plafonnée, à "&amp;Annexes!O6&amp;" € pour le mois de Mai","Vous pouvez bénéficier, au titre de cette aide, d'un montant de "&amp;ROUND(AB453,0)&amp;" € pour le mois de Mai"),IF(AB450&gt;=0.5,IF(OR(AB442="OUI",AND(OR(AB444="OUI",AB443="OUI"),OR(AB438&gt;=Annexes!P5,AB439&gt;=Annexes!P5,AB440&gt;=0.1))),IF(AB453&gt;Annexes!O6,"Dans votre cas, l'aide est Plafonnée, à "&amp;Annexes!O6&amp;" € pour le mois de Mai","Vous pouvez bénéficier, au titre de cette aide, d'un montant de "&amp;ROUND(AB453,0)&amp;" € pour le mois de Mai"),IF(AND(OR(AB444="OUI",AB443="OUI"),OR(AB438&lt;Annexes!P5,AB439&lt;Annexes!P5)),"L'entreprise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Mai 2021"))),"Vous n'avez pas indiqué de chiffre d'affaires de référence")</f>
        <v>L'entreprise n'a pas une perte d'au moins 50 % en Mai 2021</v>
      </c>
      <c r="E452" s="509"/>
      <c r="F452" s="509"/>
      <c r="G452" s="509"/>
      <c r="H452" s="509"/>
      <c r="I452" s="509"/>
      <c r="J452" s="509"/>
      <c r="K452" s="509"/>
      <c r="L452" s="509"/>
      <c r="M452" s="509"/>
      <c r="N452" s="509"/>
      <c r="O452" s="510"/>
      <c r="P452" s="1"/>
      <c r="T452" s="14"/>
      <c r="U452" s="502" t="s">
        <v>80</v>
      </c>
      <c r="V452" s="502"/>
      <c r="W452" s="502"/>
      <c r="X452" s="502"/>
      <c r="Y452" s="502"/>
      <c r="Z452" s="139"/>
      <c r="AA452" s="145"/>
      <c r="AB452" s="323">
        <f>IF('Mon Entreprise'!K8&gt;=Annexes!O20,IF(AB418&gt;=AB420,Y418,Y420),IF(AB418&gt;=AB419,Y418,Y419))</f>
        <v>0</v>
      </c>
      <c r="AC452" s="139"/>
      <c r="AD452" s="1"/>
      <c r="AE452" s="13"/>
    </row>
    <row r="453" spans="1:31" ht="16.5" hidden="1" customHeight="1">
      <c r="B453" s="173"/>
      <c r="C453" s="325"/>
      <c r="D453" s="511"/>
      <c r="E453" s="512"/>
      <c r="F453" s="512"/>
      <c r="G453" s="512"/>
      <c r="H453" s="512"/>
      <c r="I453" s="512"/>
      <c r="J453" s="512"/>
      <c r="K453" s="512"/>
      <c r="L453" s="512"/>
      <c r="M453" s="512"/>
      <c r="N453" s="512"/>
      <c r="O453" s="513"/>
      <c r="P453" s="1"/>
      <c r="T453" s="14"/>
      <c r="U453" s="490" t="s">
        <v>104</v>
      </c>
      <c r="V453" s="490"/>
      <c r="W453" s="490"/>
      <c r="X453" s="490"/>
      <c r="Y453" s="490"/>
      <c r="Z453" s="1"/>
      <c r="AA453" s="14"/>
      <c r="AB453" s="324">
        <f>IF(AB451=1,AB449,IF(AB449*AB451&gt;1500,IF(AB449&gt;1500,AB449*AB451,"Impossible"),IF(AB449&lt;1500,AB449,1500)))</f>
        <v>0</v>
      </c>
      <c r="AC453" s="1"/>
      <c r="AD453" s="1"/>
      <c r="AE453" s="13"/>
    </row>
    <row r="454" spans="1:31" ht="16.5" hidden="1" customHeight="1">
      <c r="B454" s="103"/>
      <c r="C454" s="325"/>
      <c r="D454" s="511"/>
      <c r="E454" s="512"/>
      <c r="F454" s="512"/>
      <c r="G454" s="512"/>
      <c r="H454" s="512"/>
      <c r="I454" s="512"/>
      <c r="J454" s="512"/>
      <c r="K454" s="512"/>
      <c r="L454" s="512"/>
      <c r="M454" s="512"/>
      <c r="N454" s="512"/>
      <c r="O454" s="513"/>
      <c r="P454" s="1"/>
      <c r="T454" s="14"/>
      <c r="U454" s="324"/>
      <c r="V454" s="324"/>
      <c r="W454" s="324"/>
      <c r="X454" s="324"/>
      <c r="Y454" s="324"/>
      <c r="Z454" s="1"/>
      <c r="AA454" s="1"/>
      <c r="AB454" s="1"/>
      <c r="AC454" s="1"/>
      <c r="AD454" s="1"/>
      <c r="AE454" s="13"/>
    </row>
    <row r="455" spans="1:31" ht="16.5" hidden="1" customHeight="1" thickBot="1">
      <c r="B455" s="103"/>
      <c r="C455" s="325"/>
      <c r="D455" s="514"/>
      <c r="E455" s="515"/>
      <c r="F455" s="515"/>
      <c r="G455" s="515"/>
      <c r="H455" s="515"/>
      <c r="I455" s="515"/>
      <c r="J455" s="515"/>
      <c r="K455" s="515"/>
      <c r="L455" s="515"/>
      <c r="M455" s="515"/>
      <c r="N455" s="515"/>
      <c r="O455" s="516"/>
      <c r="P455" s="1"/>
      <c r="T455" s="14"/>
      <c r="U455" s="490"/>
      <c r="V455" s="490"/>
      <c r="W455" s="490"/>
      <c r="X455" s="490"/>
      <c r="Y455" s="490"/>
      <c r="Z455" s="1"/>
      <c r="AA455" s="1"/>
      <c r="AB455" s="1"/>
      <c r="AC455" s="1"/>
      <c r="AD455" s="1"/>
      <c r="AE455" s="13"/>
    </row>
    <row r="456" spans="1:31" ht="16.5" hidden="1" customHeight="1">
      <c r="B456" s="103"/>
      <c r="C456" s="169"/>
      <c r="D456" s="174"/>
      <c r="E456" s="174"/>
      <c r="F456" s="174"/>
      <c r="G456" s="174"/>
      <c r="H456" s="174"/>
      <c r="I456" s="174"/>
      <c r="J456" s="174"/>
      <c r="K456" s="174"/>
      <c r="L456" s="174"/>
      <c r="M456" s="174"/>
      <c r="N456" s="174"/>
      <c r="O456" s="174"/>
      <c r="P456" s="1"/>
      <c r="T456" s="14"/>
      <c r="U456" s="324"/>
      <c r="V456" s="324"/>
      <c r="W456" s="324"/>
      <c r="X456" s="324"/>
      <c r="Y456" s="324"/>
      <c r="Z456" s="1"/>
      <c r="AA456" s="1"/>
      <c r="AB456" s="1"/>
      <c r="AC456" s="1"/>
      <c r="AD456" s="1"/>
      <c r="AE456" s="13"/>
    </row>
    <row r="457" spans="1:31" ht="16.5" hidden="1" customHeight="1">
      <c r="B457" s="103"/>
      <c r="C457" s="325"/>
      <c r="D457" s="320"/>
      <c r="E457" s="320"/>
      <c r="F457" s="320"/>
      <c r="G457" s="320"/>
      <c r="H457" s="320"/>
      <c r="I457" s="320"/>
      <c r="J457" s="320"/>
      <c r="K457" s="320"/>
      <c r="L457" s="320"/>
      <c r="M457" s="320"/>
      <c r="N457" s="320"/>
      <c r="O457" s="320"/>
      <c r="P457" s="1"/>
      <c r="T457" s="14"/>
      <c r="U457" s="1"/>
      <c r="V457" s="1"/>
      <c r="W457" s="1"/>
      <c r="X457" s="1"/>
      <c r="Y457" s="1"/>
      <c r="Z457" s="1"/>
      <c r="AA457" s="1"/>
      <c r="AB457" s="1"/>
      <c r="AC457" s="1"/>
      <c r="AD457" s="1"/>
      <c r="AE457" s="13"/>
    </row>
    <row r="458" spans="1:31" ht="16.5" hidden="1" customHeight="1">
      <c r="B458" s="103"/>
      <c r="C458" s="529" t="s">
        <v>464</v>
      </c>
      <c r="D458" s="529"/>
      <c r="E458" s="529"/>
      <c r="F458" s="529"/>
      <c r="G458" s="529"/>
      <c r="H458" s="529"/>
      <c r="I458" s="529"/>
      <c r="J458" s="529"/>
      <c r="K458" s="529"/>
      <c r="L458" s="529"/>
      <c r="M458" s="529"/>
      <c r="N458" s="529"/>
      <c r="O458" s="529"/>
      <c r="P458" s="1"/>
      <c r="T458" s="14"/>
      <c r="U458" s="1"/>
      <c r="V458" s="1"/>
      <c r="W458" s="1"/>
      <c r="X458" s="1"/>
      <c r="Y458" s="1"/>
      <c r="Z458" s="1"/>
      <c r="AA458" s="1"/>
      <c r="AB458" s="1"/>
      <c r="AC458" s="1"/>
      <c r="AD458" s="1"/>
      <c r="AE458" s="13"/>
    </row>
    <row r="459" spans="1:31" ht="16.5" hidden="1" customHeight="1">
      <c r="B459" s="103"/>
      <c r="C459" s="529"/>
      <c r="D459" s="529"/>
      <c r="E459" s="529"/>
      <c r="F459" s="529"/>
      <c r="G459" s="529"/>
      <c r="H459" s="529"/>
      <c r="I459" s="529"/>
      <c r="J459" s="529"/>
      <c r="K459" s="529"/>
      <c r="L459" s="529"/>
      <c r="M459" s="529"/>
      <c r="N459" s="529"/>
      <c r="O459" s="529"/>
      <c r="P459" s="1"/>
      <c r="T459" s="14"/>
      <c r="U459" s="1"/>
      <c r="V459" s="1"/>
      <c r="W459" s="1"/>
      <c r="X459" s="1"/>
      <c r="Y459" s="1"/>
      <c r="Z459" s="1"/>
      <c r="AA459" s="1"/>
      <c r="AB459" s="1"/>
      <c r="AC459" s="1"/>
      <c r="AD459" s="1"/>
      <c r="AE459" s="13"/>
    </row>
    <row r="460" spans="1:31" ht="16.5" hidden="1" customHeight="1">
      <c r="B460" s="103"/>
      <c r="C460" s="529"/>
      <c r="D460" s="529"/>
      <c r="E460" s="529"/>
      <c r="F460" s="529"/>
      <c r="G460" s="529"/>
      <c r="H460" s="529"/>
      <c r="I460" s="529"/>
      <c r="J460" s="529"/>
      <c r="K460" s="529"/>
      <c r="L460" s="529"/>
      <c r="M460" s="529"/>
      <c r="N460" s="529"/>
      <c r="O460" s="529"/>
      <c r="P460" s="1"/>
      <c r="T460" s="14"/>
      <c r="U460" s="1"/>
      <c r="V460" s="1"/>
      <c r="W460" s="1"/>
      <c r="X460" s="1"/>
      <c r="Y460" s="1"/>
      <c r="Z460" s="1"/>
      <c r="AA460" s="1"/>
      <c r="AB460" s="1"/>
      <c r="AC460" s="1"/>
      <c r="AD460" s="1"/>
      <c r="AE460" s="13"/>
    </row>
    <row r="461" spans="1:31" ht="16.5" hidden="1" customHeight="1">
      <c r="B461" s="173"/>
      <c r="C461" s="529"/>
      <c r="D461" s="529"/>
      <c r="E461" s="529"/>
      <c r="F461" s="529"/>
      <c r="G461" s="529"/>
      <c r="H461" s="529"/>
      <c r="I461" s="529"/>
      <c r="J461" s="529"/>
      <c r="K461" s="529"/>
      <c r="L461" s="529"/>
      <c r="M461" s="529"/>
      <c r="N461" s="529"/>
      <c r="O461" s="529"/>
      <c r="P461" s="1"/>
      <c r="T461" s="14"/>
      <c r="U461" s="1"/>
      <c r="V461" s="1"/>
      <c r="W461" s="1"/>
      <c r="X461" s="1"/>
      <c r="Y461" s="1"/>
      <c r="Z461" s="1"/>
      <c r="AA461" s="1"/>
      <c r="AB461" s="1"/>
      <c r="AC461" s="1"/>
      <c r="AD461" s="1"/>
      <c r="AE461" s="13"/>
    </row>
    <row r="462" spans="1:31" ht="16.5" hidden="1" customHeight="1">
      <c r="B462" s="173"/>
      <c r="C462" s="325"/>
      <c r="D462" s="306"/>
      <c r="E462" s="523" t="str">
        <f>IF(AB448="NON","",IF(OR(AB442="OUI",AND(OR(AB444="OUI",AB443="OUI"),OR(AB438&gt;=Annexes!P5,AB439&gt;=Annexes!P5,'Mes Aides'!AB145&gt;=0.1)),AB445=TRUE,AB446=TRUE),"",IF(AND(OR(AB444="OUI",AB443="OUI"),OR(AB438&lt;Annexes!P5,AB439&lt;Annexes!P5,'Mes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462" s="523"/>
      <c r="G462" s="523"/>
      <c r="H462" s="523"/>
      <c r="I462" s="523"/>
      <c r="J462" s="523"/>
      <c r="K462" s="523"/>
      <c r="L462" s="523"/>
      <c r="M462" s="523"/>
      <c r="N462" s="523"/>
      <c r="O462" s="523"/>
      <c r="P462" s="1"/>
      <c r="T462" s="14"/>
      <c r="U462" s="502" t="s">
        <v>82</v>
      </c>
      <c r="V462" s="502"/>
      <c r="W462" s="502"/>
      <c r="X462" s="502"/>
      <c r="Y462" s="502"/>
      <c r="Z462" s="68"/>
      <c r="AA462" s="1"/>
      <c r="AB462" s="1">
        <f>IFERROR(IF(AB429="Non",0,IF(OR(AB445=TRUE,AND(AB432&lt;0.5,AB446=TRUE),(AB432&gt;=0.5)),IF(AB431&gt;Annexes!O5,Annexes!O5,ROUND(AB431,0)),0)),0)</f>
        <v>0</v>
      </c>
      <c r="AC462" s="1"/>
      <c r="AD462" s="1"/>
      <c r="AE462" s="13"/>
    </row>
    <row r="463" spans="1:31" ht="15" hidden="1" customHeight="1">
      <c r="B463" s="173"/>
      <c r="C463" s="325"/>
      <c r="D463" s="306"/>
      <c r="E463" s="523"/>
      <c r="F463" s="523"/>
      <c r="G463" s="523"/>
      <c r="H463" s="523"/>
      <c r="I463" s="523"/>
      <c r="J463" s="523"/>
      <c r="K463" s="523"/>
      <c r="L463" s="523"/>
      <c r="M463" s="523"/>
      <c r="N463" s="523"/>
      <c r="O463" s="523"/>
      <c r="P463" s="1"/>
      <c r="T463" s="14"/>
      <c r="U463" s="502" t="s">
        <v>81</v>
      </c>
      <c r="V463" s="502"/>
      <c r="W463" s="502"/>
      <c r="X463" s="502"/>
      <c r="Y463" s="502"/>
      <c r="Z463" s="68"/>
      <c r="AA463" s="1"/>
      <c r="AB463" s="1">
        <f>IFERROR(IF(AB448="NON",0,IF(OR(AB445=TRUE,AND(AB446=TRUE,AB450&gt;=0.5)),IF(AB453&gt;Annexes!O6,Annexes!O6,ROUND(AB453,0)),IF(AB450&gt;=0.5,IF(OR(AB442="OUI",AND(OR(AB444="OUI",AB443="OUI"),OR(AB438&gt;=Annexes!P5,AB439&gt;=Annexes!P5,AB440&gt;=0.1))),IF(AB453&gt;Annexes!O6,Annexes!O6,ROUND(AB453,0)),IF(AND(OR(AB444="OUI",AB443="OUI"),OR(AB438&lt;Annexes!P5,AB439&lt;Annexes!P5)),0,0)),0))),0)</f>
        <v>0</v>
      </c>
      <c r="AC463" s="1"/>
      <c r="AD463" s="1"/>
      <c r="AE463" s="13"/>
    </row>
    <row r="464" spans="1:31" ht="15" hidden="1" customHeight="1">
      <c r="B464" s="173"/>
      <c r="C464" s="325"/>
      <c r="D464" s="306"/>
      <c r="E464" s="523"/>
      <c r="F464" s="523"/>
      <c r="G464" s="523"/>
      <c r="H464" s="523"/>
      <c r="I464" s="523"/>
      <c r="J464" s="523"/>
      <c r="K464" s="523"/>
      <c r="L464" s="523"/>
      <c r="M464" s="523"/>
      <c r="N464" s="523"/>
      <c r="O464" s="523"/>
      <c r="P464" s="1"/>
      <c r="T464" s="14"/>
      <c r="U464" s="502" t="s">
        <v>399</v>
      </c>
      <c r="V464" s="502"/>
      <c r="W464" s="502"/>
      <c r="X464" s="502"/>
      <c r="Y464" s="502"/>
      <c r="Z464" s="68"/>
      <c r="AA464" s="1"/>
      <c r="AB464" s="1">
        <f>IFERROR(IF(AB448="NON",0,IF(OR(AB445=TRUE,AND(AB446=TRUE,AB450&gt;=0.5)),IF(AB452=0,0,IF(AB449&lt;AB452*0.2,ROUND(AB449,0),IF(AB452*0.2&gt;=200000,Annexes!O8,ROUND(AB452*0.2,0)))),IF(OR(AB442="OUI",AND(AB443="OUI",OR(AB438&gt;=0.8,AB439&gt;=0.8,AB440&gt;=0.1))),IF(AB450&gt;=0.7,IF(AB449&lt;AB452*0.2,ROUND(AB449,0),IF(AB452*0.2&gt;=200000,Annexes!O8,ROUND(AB452*0.2,0))),IF(AB450&gt;=0.5,IF(AB449&lt;AB452*0.15,ROUND(AB449,0),IF(AB452*0.15&gt;=200000,Annexes!O8,ROUND(AB452*0.15,0))),IF(AND(AB444="OUI",OR(AB438&gt;=0.8,AB439&gt;=0.8,AB440&gt;=0.1),AB450&gt;=0.7),IF(AB449&lt;AB452*0.2,ROUND(AB449,0),IF(AB452*0.2&gt;=200000,Annexes!O8,ROUND(AB452*0.2,0))),0))),IF(AND(AB444="OUI",OR(AB438&gt;=0.8,AB439&gt;=0.8,AB440&gt;=0.1),AB450&gt;=0.7),IF(AB449&lt;AB452*0.2,ROUND(AB449,0),IF(AB452*0.2&gt;=200000,Annexes!O8,ROUND(AB452*0.2,0))),0)))),0)</f>
        <v>0</v>
      </c>
      <c r="AC464" s="1"/>
      <c r="AD464" s="1"/>
      <c r="AE464" s="13"/>
    </row>
    <row r="465" spans="2:31" ht="16.5" hidden="1" customHeight="1">
      <c r="B465" s="173"/>
      <c r="C465" s="325"/>
      <c r="D465" s="417"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65" s="417"/>
      <c r="F465" s="417"/>
      <c r="G465" s="417"/>
      <c r="H465" s="417"/>
      <c r="I465" s="417"/>
      <c r="J465" s="417"/>
      <c r="K465" s="417"/>
      <c r="L465" s="417"/>
      <c r="M465" s="417"/>
      <c r="N465" s="417"/>
      <c r="O465" s="417"/>
      <c r="P465" s="320"/>
      <c r="Q465" s="320"/>
      <c r="T465" s="14"/>
      <c r="U465" s="1"/>
      <c r="V465" s="1"/>
      <c r="W465" s="1"/>
      <c r="X465" s="1"/>
      <c r="Y465" s="1"/>
      <c r="Z465" s="1"/>
      <c r="AA465" s="1"/>
      <c r="AB465" s="1"/>
      <c r="AC465" s="1"/>
      <c r="AD465" s="1"/>
      <c r="AE465" s="13"/>
    </row>
    <row r="466" spans="2:31" ht="16.5" hidden="1" customHeight="1">
      <c r="B466" s="173"/>
      <c r="C466" s="325"/>
      <c r="D466" s="524"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convient"&amp;" de prendre celui de Mai 2019 (...), soit "&amp;ROUND(AB418,0)&amp;" €"&amp;" ==&gt; "&amp;ROUND(AE418*100,0)&amp;" %","A noter qu'il convient de choisir l'option retenue par l'entreprise lors de sa demande au titre du mois Février 2021, "&amp;"ou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66" s="524"/>
      <c r="F466" s="524"/>
      <c r="G466" s="524"/>
      <c r="H466" s="524"/>
      <c r="I466" s="524"/>
      <c r="J466" s="524"/>
      <c r="K466" s="524"/>
      <c r="L466" s="524"/>
      <c r="M466" s="524"/>
      <c r="N466" s="524"/>
      <c r="O466" s="524"/>
      <c r="P466" s="320"/>
      <c r="Q466" s="320"/>
      <c r="T466" s="14"/>
      <c r="U466" s="1"/>
      <c r="V466" s="1"/>
      <c r="W466" s="1"/>
      <c r="X466" s="1"/>
      <c r="Y466" s="1"/>
      <c r="Z466" s="1"/>
      <c r="AA466" s="1"/>
      <c r="AB466" s="1"/>
      <c r="AC466" s="1"/>
      <c r="AD466" s="1"/>
      <c r="AE466" s="13"/>
    </row>
    <row r="467" spans="2:31" ht="16.5" hidden="1" customHeight="1">
      <c r="B467" s="173"/>
      <c r="C467" s="325"/>
      <c r="D467" s="524"/>
      <c r="E467" s="524"/>
      <c r="F467" s="524"/>
      <c r="G467" s="524"/>
      <c r="H467" s="524"/>
      <c r="I467" s="524"/>
      <c r="J467" s="524"/>
      <c r="K467" s="524"/>
      <c r="L467" s="524"/>
      <c r="M467" s="524"/>
      <c r="N467" s="524"/>
      <c r="O467" s="524"/>
      <c r="P467" s="320"/>
      <c r="Q467" s="320"/>
      <c r="T467" s="14"/>
      <c r="U467" s="1"/>
      <c r="V467" s="1"/>
      <c r="W467" s="1"/>
      <c r="X467" s="1"/>
      <c r="Y467" s="1"/>
      <c r="Z467" s="1"/>
      <c r="AA467" s="1"/>
      <c r="AB467" s="1"/>
      <c r="AC467" s="1"/>
      <c r="AD467" s="1"/>
      <c r="AE467" s="13"/>
    </row>
    <row r="468" spans="2:31" ht="16.5" hidden="1" customHeight="1">
      <c r="B468" s="103"/>
      <c r="C468" s="325"/>
      <c r="D468" s="523" t="str">
        <f>IF(OR(AB445=TRUE,AND(AB446=TRUE,AB450&gt;=0.5)),"- L'entreprise peut bénéficier d'une aide de 20 % du CA de référence, plafonnée à 200 000 €",IF(OR(AB442="OUI",AND(AB443="OUI",OR(AB438&gt;=0.8,AB439&gt;=0.8,AB440&gt;=0.1))),IF(AB450&gt;=0.7,"- L'entreprise peut bénéficier d'une aide de 20 % du CA de référence, plafonnée à 200 000 €",IF(AB450&gt;=0.5,"- L'entreprise peut bénéficier d'une aide de 15 % du CA de référence, plafonnée à 200 000 €","- L'entreprise n'a subi ni de fermeture administrative avec une perte de 20 % de CA au mois de Mai, ni de perte d'au moins 50 % de son CA")),IF(AND(AB444="OUI",OR(AB438&gt;=0.8,AB439&gt;=0.8,AB440&gt;=0.1),AB450&gt;=0.5),"- L'entreprise peut bénéficier d'une aide de 20 % du CA de référence, plafonnée à 200 000 €","- L'entreprise ne fait ni partie des fermetures administratives avec une perte de 20 % du CA au mois de Mai, ni des activités mentionnées en annexe 1 (S1) ou en annexe 2 (S1 bis) ou Annexe 3 ou dans un centre commercial ayant une perte significative")))</f>
        <v>- L'entreprise ne fait ni partie des fermetures administratives avec une perte de 20 % du CA au mois de Mai, ni des activités mentionnées en annexe 1 (S1) ou en annexe 2 (S1 bis) ou Annexe 3 ou dans un centre commercial ayant une perte significative</v>
      </c>
      <c r="E468" s="523"/>
      <c r="F468" s="523"/>
      <c r="G468" s="523"/>
      <c r="H468" s="523"/>
      <c r="I468" s="523"/>
      <c r="J468" s="523"/>
      <c r="K468" s="523"/>
      <c r="L468" s="523"/>
      <c r="M468" s="523"/>
      <c r="N468" s="523"/>
      <c r="O468" s="523"/>
      <c r="P468" s="320"/>
      <c r="Q468" s="320"/>
      <c r="T468" s="14"/>
      <c r="U468" s="1"/>
      <c r="V468" s="1"/>
      <c r="W468" s="1"/>
      <c r="X468" s="1"/>
      <c r="Y468" s="1"/>
      <c r="Z468" s="1"/>
      <c r="AA468" s="1"/>
      <c r="AB468" s="1"/>
      <c r="AC468" s="1"/>
      <c r="AD468" s="1"/>
      <c r="AE468" s="13"/>
    </row>
    <row r="469" spans="2:31" ht="16.5" hidden="1" customHeight="1">
      <c r="B469" s="168"/>
      <c r="C469" s="325"/>
      <c r="D469" s="523"/>
      <c r="E469" s="523"/>
      <c r="F469" s="523"/>
      <c r="G469" s="523"/>
      <c r="H469" s="523"/>
      <c r="I469" s="523"/>
      <c r="J469" s="523"/>
      <c r="K469" s="523"/>
      <c r="L469" s="523"/>
      <c r="M469" s="523"/>
      <c r="N469" s="523"/>
      <c r="O469" s="523"/>
      <c r="P469" s="320"/>
      <c r="Q469" s="320"/>
      <c r="T469" s="14"/>
      <c r="U469" s="1"/>
      <c r="V469" s="1"/>
      <c r="W469" s="1"/>
      <c r="X469" s="1"/>
      <c r="Y469" s="1"/>
      <c r="Z469" s="1"/>
      <c r="AA469" s="1"/>
      <c r="AB469" s="1"/>
      <c r="AC469" s="1"/>
      <c r="AD469" s="1"/>
      <c r="AE469" s="13"/>
    </row>
    <row r="470" spans="2:31" ht="16.5" hidden="1" customHeight="1" thickBot="1">
      <c r="B470" s="168"/>
      <c r="C470" s="325"/>
      <c r="D470" s="340"/>
      <c r="E470" s="320"/>
      <c r="F470" s="320"/>
      <c r="G470" s="320"/>
      <c r="H470" s="320"/>
      <c r="I470" s="320"/>
      <c r="J470" s="320"/>
      <c r="K470" s="320"/>
      <c r="L470" s="320"/>
      <c r="M470" s="320"/>
      <c r="N470" s="320"/>
      <c r="O470" s="320"/>
      <c r="P470" s="320"/>
      <c r="Q470" s="320"/>
      <c r="T470" s="14"/>
      <c r="U470" s="1"/>
      <c r="V470" s="1"/>
      <c r="W470" s="1"/>
      <c r="X470" s="1"/>
      <c r="Y470" s="1"/>
      <c r="Z470" s="1"/>
      <c r="AA470" s="1"/>
      <c r="AB470" s="1"/>
      <c r="AC470" s="1"/>
      <c r="AD470" s="1"/>
      <c r="AE470" s="13"/>
    </row>
    <row r="471" spans="2:31" ht="16.5" hidden="1" customHeight="1">
      <c r="B471" s="103"/>
      <c r="C471" s="318"/>
      <c r="D471" s="527" t="str">
        <f>IFERROR(IF(AB448="NON","Vous avez débuté votre activité après le 31 Janvier 2020, vous ne pouvez donc pas bénéficier de cette aide",IF(OR(AB445=TRUE,AND(AB446=TRUE,AB450&gt;=0.5)),IF(AB452=0,"Vous n'avez pas indiqué de chiffre d'affaires de référence",IF(AB449&lt;AB452*0.2,"Dans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Mai"))),IF(OR(AB442="OUI",AND(AB443="OUI",OR(AB438&gt;=0.8,AB439&gt;=0.8,AB440&gt;=0.1))),IF(AB450&gt;=0.7,IF(AB449&lt;AB452*0.2,"Dans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Mai")),IF(AB450&gt;=0.5,IF(AB449&lt;AB452*0.15,"Dans votre cas, la perte est inférieure à 15 % du CA, l'aide est donc plafonnée à la perte, soit "&amp;ROUND(AB449,0)&amp;" € pour le mois de Mai",IF(AB452*0.15&gt;=200000,"Dans votre cas, l'aide est plafonnée, à "&amp;Annexes!O8&amp;" € pour le mois de Mai","Vous pouvez bénéficier, au titre de cette aide, d'un montant de "&amp;ROUND(AB452*0.15,0)&amp;" € pour le mois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au mois de Mai, ni des activités mentionnées en annexe 1 (S1) avec 50 % de perte en Mai ou en annexe 2 (S1 bis) ou 3 ou dans un centre commercial avec 70 % de Perte en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avec 20 % de perte au mois de Mai, ni des activités mentionnées en annexe 1 (S1)"&amp;" ou en annexe 2 (S1 bis) avec 50 % de perte en Mai ou 3 ou dans un centre commercial avec 70 % de Perte en Mai")))),"Vous n'avez pas indiqué de chiffre d'affaires de référence")</f>
        <v>L'entreprise ne fait ni partie des fermetures administratives avec 20 % de perte au mois de Mai, ni des activités mentionnées en annexe 1 (S1) ou en annexe 2 (S1 bis) avec 50 % de perte en Mai ou 3 ou dans un centre commercial avec 70 % de Perte en Mai</v>
      </c>
      <c r="E471" s="509"/>
      <c r="F471" s="509"/>
      <c r="G471" s="509"/>
      <c r="H471" s="509"/>
      <c r="I471" s="509"/>
      <c r="J471" s="509"/>
      <c r="K471" s="509"/>
      <c r="L471" s="509"/>
      <c r="M471" s="509"/>
      <c r="N471" s="509"/>
      <c r="O471" s="510"/>
      <c r="P471" s="320"/>
      <c r="Q471" s="320"/>
      <c r="T471" s="14"/>
      <c r="U471" s="1"/>
      <c r="V471" s="1"/>
      <c r="W471" s="1"/>
      <c r="X471" s="1"/>
      <c r="Y471" s="1"/>
      <c r="Z471" s="1"/>
      <c r="AA471" s="1"/>
      <c r="AB471" s="1"/>
      <c r="AC471" s="1"/>
      <c r="AD471" s="1"/>
      <c r="AE471" s="13"/>
    </row>
    <row r="472" spans="2:31" ht="16.5" hidden="1" customHeight="1">
      <c r="B472" s="103"/>
      <c r="C472" s="318"/>
      <c r="D472" s="511"/>
      <c r="E472" s="512"/>
      <c r="F472" s="512"/>
      <c r="G472" s="512"/>
      <c r="H472" s="512"/>
      <c r="I472" s="512"/>
      <c r="J472" s="512"/>
      <c r="K472" s="512"/>
      <c r="L472" s="512"/>
      <c r="M472" s="512"/>
      <c r="N472" s="512"/>
      <c r="O472" s="513"/>
      <c r="P472" s="320"/>
      <c r="Q472" s="320"/>
      <c r="T472" s="14"/>
      <c r="U472" s="1"/>
      <c r="V472" s="1"/>
      <c r="W472" s="1"/>
      <c r="X472" s="1"/>
      <c r="Y472" s="1"/>
      <c r="Z472" s="1"/>
      <c r="AA472" s="1"/>
      <c r="AB472" s="1"/>
      <c r="AC472" s="1"/>
      <c r="AD472" s="1"/>
      <c r="AE472" s="13"/>
    </row>
    <row r="473" spans="2:31" ht="16.5" hidden="1" customHeight="1">
      <c r="B473" s="103"/>
      <c r="C473" s="318"/>
      <c r="D473" s="511"/>
      <c r="E473" s="512"/>
      <c r="F473" s="512"/>
      <c r="G473" s="512"/>
      <c r="H473" s="512"/>
      <c r="I473" s="512"/>
      <c r="J473" s="512"/>
      <c r="K473" s="512"/>
      <c r="L473" s="512"/>
      <c r="M473" s="512"/>
      <c r="N473" s="512"/>
      <c r="O473" s="513"/>
      <c r="P473" s="175"/>
      <c r="Q473" s="175"/>
      <c r="T473" s="14"/>
      <c r="U473" s="1"/>
      <c r="V473" s="1"/>
      <c r="W473" s="1"/>
      <c r="X473" s="1"/>
      <c r="Y473" s="1"/>
      <c r="Z473" s="1"/>
      <c r="AA473" s="1"/>
      <c r="AB473" s="1"/>
      <c r="AC473" s="1"/>
      <c r="AD473" s="1"/>
      <c r="AE473" s="13"/>
    </row>
    <row r="474" spans="2:31" ht="16.5" hidden="1" customHeight="1" thickBot="1">
      <c r="B474" s="103"/>
      <c r="C474" s="318"/>
      <c r="D474" s="514"/>
      <c r="E474" s="515"/>
      <c r="F474" s="515"/>
      <c r="G474" s="515"/>
      <c r="H474" s="515"/>
      <c r="I474" s="515"/>
      <c r="J474" s="515"/>
      <c r="K474" s="515"/>
      <c r="L474" s="515"/>
      <c r="M474" s="515"/>
      <c r="N474" s="515"/>
      <c r="O474" s="516"/>
      <c r="T474" s="14"/>
      <c r="U474" s="1"/>
      <c r="V474" s="1"/>
      <c r="W474" s="1"/>
      <c r="X474" s="1"/>
      <c r="Y474" s="1"/>
      <c r="Z474" s="1"/>
      <c r="AA474" s="1"/>
      <c r="AB474" s="1"/>
      <c r="AC474" s="1"/>
      <c r="AD474" s="1"/>
      <c r="AE474" s="13"/>
    </row>
    <row r="475" spans="2:31" ht="16.5" hidden="1" customHeight="1">
      <c r="B475" s="5"/>
      <c r="C475" s="5"/>
      <c r="D475" s="566" t="str">
        <f>IF(AND(AB446=TRUE,AB445=FALSE,AB431&gt;1500),"L'aide est plafonné à 1 500 €, Si l'entreprise a subi une perte de moins de 50 % sur la période en comprenant le CA réalisé sur les activités de vente à distance avec retrait en magasin ou livraison sont à prendre en compte pour le calcul de la perte","")</f>
        <v/>
      </c>
      <c r="E475" s="566"/>
      <c r="F475" s="566"/>
      <c r="G475" s="566"/>
      <c r="H475" s="566"/>
      <c r="I475" s="566"/>
      <c r="J475" s="566"/>
      <c r="K475" s="566"/>
      <c r="L475" s="566"/>
      <c r="M475" s="566"/>
      <c r="N475" s="566"/>
      <c r="O475" s="566"/>
      <c r="P475" s="177"/>
      <c r="Q475" s="177"/>
      <c r="T475" s="14"/>
      <c r="U475" s="1"/>
      <c r="V475" s="1"/>
      <c r="W475" s="1"/>
      <c r="X475" s="1"/>
      <c r="Y475" s="1"/>
      <c r="Z475" s="1"/>
      <c r="AA475" s="1"/>
      <c r="AB475" s="1"/>
      <c r="AC475" s="1"/>
      <c r="AD475" s="1"/>
      <c r="AE475" s="13"/>
    </row>
    <row r="476" spans="2:31" hidden="1">
      <c r="B476" s="5"/>
      <c r="C476" s="5"/>
      <c r="D476" s="566"/>
      <c r="E476" s="566"/>
      <c r="F476" s="566"/>
      <c r="G476" s="566"/>
      <c r="H476" s="566"/>
      <c r="I476" s="566"/>
      <c r="J476" s="566"/>
      <c r="K476" s="566"/>
      <c r="L476" s="566"/>
      <c r="M476" s="566"/>
      <c r="N476" s="566"/>
      <c r="O476" s="566"/>
      <c r="P476" s="177"/>
      <c r="Q476" s="177"/>
      <c r="T476" s="14"/>
      <c r="U476" s="1"/>
      <c r="V476" s="1"/>
      <c r="W476" s="1"/>
      <c r="X476" s="1"/>
      <c r="Y476" s="1"/>
      <c r="Z476" s="1"/>
      <c r="AA476" s="1"/>
      <c r="AB476" s="1"/>
      <c r="AC476" s="1"/>
      <c r="AD476" s="1"/>
      <c r="AE476" s="13"/>
    </row>
    <row r="477" spans="2:31">
      <c r="D477" s="177"/>
      <c r="E477" s="177"/>
      <c r="F477" s="177"/>
      <c r="G477" s="177"/>
      <c r="H477" s="177"/>
      <c r="I477" s="177"/>
      <c r="J477" s="177"/>
      <c r="K477" s="177"/>
      <c r="L477" s="177"/>
      <c r="M477" s="177"/>
      <c r="N477" s="177"/>
      <c r="O477" s="177"/>
      <c r="P477" s="175"/>
      <c r="Q477" s="175"/>
      <c r="T477" s="14"/>
      <c r="U477" s="1"/>
      <c r="V477" s="1"/>
      <c r="W477" s="1"/>
      <c r="X477" s="1"/>
      <c r="Y477" s="1"/>
      <c r="Z477" s="1"/>
      <c r="AA477" s="1"/>
      <c r="AB477" s="1"/>
      <c r="AC477" s="1"/>
      <c r="AD477" s="1"/>
      <c r="AE477" s="13"/>
    </row>
    <row r="478" spans="2:31" ht="16.5" thickBot="1">
      <c r="B478" s="220"/>
      <c r="C478" s="488" t="s">
        <v>470</v>
      </c>
      <c r="D478" s="488"/>
      <c r="E478" s="488"/>
      <c r="F478" s="488"/>
      <c r="G478" s="488"/>
      <c r="H478" s="488"/>
      <c r="I478" s="221"/>
      <c r="J478" s="221"/>
      <c r="K478" s="221"/>
      <c r="L478" s="221"/>
      <c r="M478" s="221"/>
      <c r="N478" s="221"/>
      <c r="O478" s="221"/>
      <c r="T478" s="16"/>
      <c r="U478" s="11"/>
      <c r="V478" s="11"/>
      <c r="W478" s="11"/>
      <c r="X478" s="11"/>
      <c r="Y478" s="11"/>
      <c r="Z478" s="11"/>
      <c r="AA478" s="11"/>
      <c r="AB478" s="11"/>
      <c r="AC478" s="11"/>
      <c r="AD478" s="11"/>
      <c r="AE478" s="12"/>
    </row>
    <row r="479" spans="2:31" ht="15" customHeight="1">
      <c r="B479" s="63"/>
      <c r="C479" s="24"/>
      <c r="D479" s="24"/>
      <c r="E479" s="24"/>
      <c r="F479" s="24"/>
      <c r="G479" s="24"/>
      <c r="H479" s="63"/>
      <c r="I479" s="1"/>
      <c r="J479" s="1"/>
      <c r="K479" s="1"/>
      <c r="L479" s="1"/>
      <c r="M479" s="1"/>
      <c r="N479" s="1"/>
      <c r="O479" s="1"/>
      <c r="T479" s="14"/>
      <c r="U479" s="1"/>
      <c r="V479" s="1"/>
      <c r="W479" s="1"/>
      <c r="X479" s="1"/>
      <c r="Y479" s="1"/>
      <c r="Z479" s="1"/>
      <c r="AA479" s="1"/>
      <c r="AB479" s="1"/>
      <c r="AC479" s="1"/>
      <c r="AD479" s="1"/>
      <c r="AE479" s="13"/>
    </row>
    <row r="480" spans="2:31" ht="15" customHeight="1">
      <c r="B480" s="103"/>
      <c r="C480" s="489" t="s">
        <v>476</v>
      </c>
      <c r="D480" s="489"/>
      <c r="E480" s="489"/>
      <c r="F480" s="489"/>
      <c r="G480" s="489"/>
      <c r="H480" s="489"/>
      <c r="I480" s="489"/>
      <c r="J480" s="489"/>
      <c r="K480" s="489"/>
      <c r="L480" s="489"/>
      <c r="M480" s="489"/>
      <c r="N480" s="489"/>
      <c r="O480" s="489"/>
      <c r="P480" s="1"/>
      <c r="T480" s="25"/>
      <c r="U480" s="490" t="s">
        <v>20</v>
      </c>
      <c r="V480" s="490"/>
      <c r="W480" s="490"/>
      <c r="X480" s="1"/>
      <c r="Y480" s="339" t="s">
        <v>6</v>
      </c>
      <c r="Z480" s="339"/>
      <c r="AA480" s="339"/>
      <c r="AB480" s="339" t="s">
        <v>23</v>
      </c>
      <c r="AC480" s="339"/>
      <c r="AD480" s="339"/>
      <c r="AE480" s="26" t="s">
        <v>24</v>
      </c>
    </row>
    <row r="481" spans="2:31" ht="15.75" customHeight="1">
      <c r="B481" s="103"/>
      <c r="C481" s="332"/>
      <c r="D481" s="60" t="s">
        <v>435</v>
      </c>
      <c r="E481" s="332"/>
      <c r="F481" s="332"/>
      <c r="G481" s="332"/>
      <c r="H481" s="332"/>
      <c r="I481" s="332"/>
      <c r="J481" s="332"/>
      <c r="K481" s="332"/>
      <c r="L481" s="332"/>
      <c r="M481" s="332"/>
      <c r="N481" s="332"/>
      <c r="O481" s="332"/>
      <c r="P481" s="1"/>
      <c r="T481" s="25"/>
      <c r="U481" s="339"/>
      <c r="V481" s="339"/>
      <c r="W481" s="339"/>
      <c r="X481" s="1"/>
      <c r="Y481" s="339"/>
      <c r="Z481" s="339"/>
      <c r="AA481" s="339"/>
      <c r="AB481" s="339"/>
      <c r="AC481" s="339"/>
      <c r="AD481" s="339"/>
      <c r="AE481" s="26"/>
    </row>
    <row r="482" spans="2:31" ht="16.5" thickBot="1">
      <c r="B482" s="103"/>
      <c r="C482" s="332"/>
      <c r="D482" s="60"/>
      <c r="E482" s="332"/>
      <c r="F482" s="332"/>
      <c r="G482" s="332"/>
      <c r="H482" s="332"/>
      <c r="I482" s="332"/>
      <c r="J482" s="332"/>
      <c r="K482" s="332"/>
      <c r="L482" s="332"/>
      <c r="M482" s="332"/>
      <c r="N482" s="332"/>
      <c r="O482" s="332"/>
      <c r="P482" s="1"/>
      <c r="T482" s="491" t="s">
        <v>475</v>
      </c>
      <c r="U482" s="490"/>
      <c r="V482" s="490"/>
      <c r="W482" s="490"/>
      <c r="X482" s="1"/>
      <c r="Y482" s="7">
        <f>'Mon Entreprise'!I132</f>
        <v>0</v>
      </c>
      <c r="Z482" s="133"/>
      <c r="AA482" s="21"/>
      <c r="AB482" s="7">
        <f>IF('Mon Entreprise'!I132-'Mon Entreprise'!M132&lt;0,0,'Mon Entreprise'!I132-'Mon Entreprise'!M132)</f>
        <v>0</v>
      </c>
      <c r="AC482" s="13"/>
      <c r="AD482" s="1"/>
      <c r="AE482" s="27">
        <f>IFERROR(1-'Mon Entreprise'!M132/'Mon Entreprise'!I132,0)</f>
        <v>0</v>
      </c>
    </row>
    <row r="483" spans="2:31" ht="15.75">
      <c r="B483" s="103"/>
      <c r="C483" s="332"/>
      <c r="D483" s="492" t="str">
        <f>IFERROR(IF(AND(AB524=0,AB525=0,AB526=0),"Vous ne pouvez pas bénéficier du fonds de solidarité pour le mois de Juin 2021",IF(AND(AB526&gt;AB525,AB526&gt;AB524),"Votre entreprise peut bénéficier d'une aide de "&amp;AB526&amp;" €, au titre d'une fermeture Administrative avec une perte de 20 % de CA",IF(AB525&gt;AB524,"Votre entreprise peut bénéficier d'une aide de "&amp;AB525&amp;"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"&amp;AB524&amp;" €, au titre d'une fermeture administrative d'au moins 10 jours et d'une perte d'au-moins 50 % de votre CA en Juin 2021"))),"Vous n'avez pas indiqué de chiffre d'affaires de référence")</f>
        <v>Vous ne pouvez pas bénéficier du fonds de solidarité pour le mois de Juin 2021</v>
      </c>
      <c r="E483" s="493"/>
      <c r="F483" s="493"/>
      <c r="G483" s="493"/>
      <c r="H483" s="493"/>
      <c r="I483" s="493"/>
      <c r="J483" s="493"/>
      <c r="K483" s="493"/>
      <c r="L483" s="493"/>
      <c r="M483" s="493"/>
      <c r="N483" s="493"/>
      <c r="O483" s="494"/>
      <c r="P483" s="1"/>
      <c r="T483" s="491" t="s">
        <v>25</v>
      </c>
      <c r="U483" s="490"/>
      <c r="V483" s="490"/>
      <c r="W483" s="490"/>
      <c r="X483" s="1"/>
      <c r="Y483" s="7">
        <f>'Mon Entreprise'!I98</f>
        <v>0</v>
      </c>
      <c r="Z483" s="133"/>
      <c r="AA483" s="21"/>
      <c r="AB483" s="7">
        <f>IF('Mon Entreprise'!I98-'Mon Entreprise'!M132&lt;0,0,'Mon Entreprise'!I98-'Mon Entreprise'!M132)</f>
        <v>0</v>
      </c>
      <c r="AC483" s="36"/>
      <c r="AD483" s="1"/>
      <c r="AE483" s="27">
        <f>IFERROR(1-'Mon Entreprise'!M132/'Mon Entreprise'!I98,0)</f>
        <v>0</v>
      </c>
    </row>
    <row r="484" spans="2:31" ht="15.75" customHeight="1">
      <c r="B484" s="103"/>
      <c r="C484" s="332"/>
      <c r="D484" s="495"/>
      <c r="E484" s="496"/>
      <c r="F484" s="496"/>
      <c r="G484" s="496"/>
      <c r="H484" s="496"/>
      <c r="I484" s="496"/>
      <c r="J484" s="496"/>
      <c r="K484" s="496"/>
      <c r="L484" s="496"/>
      <c r="M484" s="496"/>
      <c r="N484" s="496"/>
      <c r="O484" s="497"/>
      <c r="P484" s="1"/>
      <c r="T484" s="501" t="s">
        <v>22</v>
      </c>
      <c r="U484" s="502"/>
      <c r="V484" s="502"/>
      <c r="W484" s="502"/>
      <c r="X484" s="139"/>
      <c r="Y484" s="140" t="str">
        <f>IF('Mon Entreprise'!I148="","NC",'Mon Entreprise'!I148)</f>
        <v>NC</v>
      </c>
      <c r="Z484" s="191"/>
      <c r="AA484" s="192"/>
      <c r="AB484" s="143" t="str">
        <f>IFERROR(IF('Mon Entreprise'!I148-'Mon Entreprise'!M132&lt;0,0,'Mon Entreprise'!I148-'Mon Entreprise'!M132),"NC")</f>
        <v>NC</v>
      </c>
      <c r="AC484" s="193"/>
      <c r="AD484" s="139"/>
      <c r="AE484" s="146" t="str">
        <f>IFERROR(1-'Mon Entreprise'!M132/'Mon Entreprise'!I148,"NC")</f>
        <v>NC</v>
      </c>
    </row>
    <row r="485" spans="2:31" ht="15.75" customHeight="1">
      <c r="B485" s="103"/>
      <c r="C485" s="332"/>
      <c r="D485" s="495"/>
      <c r="E485" s="496"/>
      <c r="F485" s="496"/>
      <c r="G485" s="496"/>
      <c r="H485" s="496"/>
      <c r="I485" s="496"/>
      <c r="J485" s="496"/>
      <c r="K485" s="496"/>
      <c r="L485" s="496"/>
      <c r="M485" s="496"/>
      <c r="N485" s="496"/>
      <c r="O485" s="497"/>
      <c r="P485" s="1"/>
      <c r="T485" s="334"/>
      <c r="U485" s="335"/>
      <c r="V485" s="335"/>
      <c r="W485" s="335"/>
      <c r="X485" s="139"/>
      <c r="Y485" s="140"/>
      <c r="Z485" s="141"/>
      <c r="AA485" s="192"/>
      <c r="AB485" s="143"/>
      <c r="AC485" s="335"/>
      <c r="AD485" s="139"/>
      <c r="AE485" s="146"/>
    </row>
    <row r="486" spans="2:31" ht="15.75" customHeight="1">
      <c r="B486" s="103"/>
      <c r="C486" s="332"/>
      <c r="D486" s="495"/>
      <c r="E486" s="496"/>
      <c r="F486" s="496"/>
      <c r="G486" s="496"/>
      <c r="H486" s="496"/>
      <c r="I486" s="496"/>
      <c r="J486" s="496"/>
      <c r="K486" s="496"/>
      <c r="L486" s="496"/>
      <c r="M486" s="496"/>
      <c r="N486" s="496"/>
      <c r="O486" s="497"/>
      <c r="P486" s="1"/>
      <c r="T486" s="14"/>
      <c r="U486" s="1"/>
      <c r="V486" s="1"/>
      <c r="W486" s="1"/>
      <c r="X486" s="1"/>
      <c r="Y486" s="1"/>
      <c r="Z486" s="1"/>
      <c r="AA486" s="1"/>
      <c r="AB486" s="1"/>
      <c r="AC486" s="1"/>
      <c r="AD486" s="1"/>
      <c r="AE486" s="13"/>
    </row>
    <row r="487" spans="2:31" ht="15.75" customHeight="1">
      <c r="B487" s="103"/>
      <c r="C487" s="332"/>
      <c r="D487" s="495"/>
      <c r="E487" s="496"/>
      <c r="F487" s="496"/>
      <c r="G487" s="496"/>
      <c r="H487" s="496"/>
      <c r="I487" s="496"/>
      <c r="J487" s="496"/>
      <c r="K487" s="496"/>
      <c r="L487" s="496"/>
      <c r="M487" s="496"/>
      <c r="N487" s="496"/>
      <c r="O487" s="497"/>
      <c r="P487" s="1"/>
      <c r="T487" s="14"/>
      <c r="AC487" s="1"/>
      <c r="AD487" s="1"/>
      <c r="AE487" s="13"/>
    </row>
    <row r="488" spans="2:31" ht="15.75" customHeight="1" thickBot="1">
      <c r="B488" s="103"/>
      <c r="C488" s="332"/>
      <c r="D488" s="498"/>
      <c r="E488" s="499"/>
      <c r="F488" s="499"/>
      <c r="G488" s="499"/>
      <c r="H488" s="499"/>
      <c r="I488" s="499"/>
      <c r="J488" s="499"/>
      <c r="K488" s="499"/>
      <c r="L488" s="499"/>
      <c r="M488" s="499"/>
      <c r="N488" s="499"/>
      <c r="O488" s="500"/>
      <c r="P488" s="1"/>
      <c r="T488" s="14"/>
      <c r="AC488" s="1"/>
      <c r="AD488" s="1"/>
      <c r="AE488" s="13"/>
    </row>
    <row r="489" spans="2:31" ht="16.5" customHeight="1">
      <c r="B489" s="103"/>
      <c r="C489" s="332"/>
      <c r="D489" s="503" t="s">
        <v>494</v>
      </c>
      <c r="E489" s="503"/>
      <c r="F489" s="503"/>
      <c r="G489" s="503"/>
      <c r="H489" s="503"/>
      <c r="I489" s="503"/>
      <c r="J489" s="503"/>
      <c r="K489" s="503"/>
      <c r="L489" s="503"/>
      <c r="M489" s="503"/>
      <c r="N489" s="503"/>
      <c r="O489" s="503"/>
      <c r="P489" s="1"/>
      <c r="T489" s="14"/>
      <c r="AC489" s="1"/>
      <c r="AD489" s="1"/>
      <c r="AE489" s="13"/>
    </row>
    <row r="490" spans="2:31" ht="16.5" customHeight="1">
      <c r="B490" s="103"/>
      <c r="C490" s="351"/>
      <c r="D490" s="504"/>
      <c r="E490" s="504"/>
      <c r="F490" s="504"/>
      <c r="G490" s="504"/>
      <c r="H490" s="504"/>
      <c r="I490" s="504"/>
      <c r="J490" s="504"/>
      <c r="K490" s="504"/>
      <c r="L490" s="504"/>
      <c r="M490" s="504"/>
      <c r="N490" s="504"/>
      <c r="O490" s="504"/>
      <c r="P490" s="1"/>
      <c r="T490" s="14"/>
      <c r="AC490" s="1"/>
      <c r="AD490" s="1"/>
      <c r="AE490" s="13"/>
    </row>
    <row r="491" spans="2:31" ht="15.75" hidden="1">
      <c r="B491" s="103"/>
      <c r="C491" s="78"/>
      <c r="D491" s="78"/>
      <c r="E491" s="78"/>
      <c r="F491" s="78"/>
      <c r="G491" s="78"/>
      <c r="H491" s="78"/>
      <c r="I491" s="78"/>
      <c r="J491" s="78"/>
      <c r="K491" s="78"/>
      <c r="L491" s="78"/>
      <c r="M491" s="78"/>
      <c r="N491" s="78"/>
      <c r="O491" s="78"/>
      <c r="P491" s="1"/>
      <c r="T491" s="14"/>
      <c r="U491" s="1"/>
      <c r="V491" s="1"/>
      <c r="W491" s="1"/>
      <c r="X491" s="1"/>
      <c r="Y491" s="1"/>
      <c r="Z491" s="1"/>
      <c r="AA491" s="1"/>
      <c r="AB491" s="1"/>
      <c r="AC491" s="1"/>
      <c r="AD491" s="1"/>
      <c r="AE491" s="13"/>
    </row>
    <row r="492" spans="2:31" ht="15.75" hidden="1">
      <c r="B492" s="103"/>
      <c r="C492" s="332"/>
      <c r="D492" s="60"/>
      <c r="E492" s="332"/>
      <c r="F492" s="332"/>
      <c r="G492" s="332"/>
      <c r="H492" s="332"/>
      <c r="I492" s="332"/>
      <c r="J492" s="332"/>
      <c r="K492" s="332"/>
      <c r="L492" s="332"/>
      <c r="M492" s="332"/>
      <c r="N492" s="332"/>
      <c r="O492" s="332"/>
      <c r="P492" s="1"/>
      <c r="T492" s="14"/>
      <c r="U492" s="1"/>
      <c r="V492" s="1"/>
      <c r="W492" s="1"/>
      <c r="X492" s="1"/>
      <c r="Y492" s="1"/>
      <c r="Z492" s="1"/>
      <c r="AA492" s="1"/>
      <c r="AB492" s="1"/>
      <c r="AC492" s="1"/>
      <c r="AD492" s="1"/>
      <c r="AE492" s="13"/>
    </row>
    <row r="493" spans="2:31" ht="15.75" hidden="1">
      <c r="B493" s="103"/>
      <c r="C493" s="505" t="s">
        <v>485</v>
      </c>
      <c r="D493" s="505"/>
      <c r="E493" s="505"/>
      <c r="F493" s="505"/>
      <c r="G493" s="505"/>
      <c r="H493" s="505"/>
      <c r="I493" s="505"/>
      <c r="J493" s="505"/>
      <c r="K493" s="505"/>
      <c r="L493" s="505"/>
      <c r="M493" s="505"/>
      <c r="N493" s="505"/>
      <c r="O493" s="505"/>
      <c r="P493" s="1"/>
      <c r="T493" s="14"/>
      <c r="U493" s="1"/>
      <c r="V493" s="1"/>
      <c r="W493" s="1"/>
      <c r="X493" s="1"/>
      <c r="Y493" s="1"/>
      <c r="Z493" s="1"/>
      <c r="AA493" s="1"/>
      <c r="AB493" s="1"/>
      <c r="AC493" s="1"/>
      <c r="AD493" s="1"/>
      <c r="AE493" s="13"/>
    </row>
    <row r="494" spans="2:31" ht="15.75" hidden="1">
      <c r="B494" s="103"/>
      <c r="C494" s="505"/>
      <c r="D494" s="505"/>
      <c r="E494" s="505"/>
      <c r="F494" s="505"/>
      <c r="G494" s="505"/>
      <c r="H494" s="505"/>
      <c r="I494" s="505"/>
      <c r="J494" s="505"/>
      <c r="K494" s="505"/>
      <c r="L494" s="505"/>
      <c r="M494" s="505"/>
      <c r="N494" s="505"/>
      <c r="O494" s="505"/>
      <c r="P494" s="1"/>
      <c r="T494" s="14"/>
      <c r="U494" s="506" t="s">
        <v>72</v>
      </c>
      <c r="V494" s="506"/>
      <c r="W494" s="506"/>
      <c r="X494" s="506"/>
      <c r="Y494" s="506"/>
      <c r="Z494" s="1"/>
      <c r="AA494" s="14"/>
      <c r="AB494" s="335" t="str">
        <f>IF('Mon Entreprise'!K8&lt;=Annexes!R15,"Oui","Non")</f>
        <v>Oui</v>
      </c>
      <c r="AC494" s="1"/>
      <c r="AD494" s="1"/>
      <c r="AE494" s="13"/>
    </row>
    <row r="495" spans="2:31" ht="15.75" hidden="1">
      <c r="B495" s="168"/>
      <c r="C495" s="332"/>
      <c r="D495" s="60" t="str">
        <f>IFERROR(IF('Mon Entreprise'!K8&gt;=Annexes!O20,IF(AB482&gt;=AB484,"Le CA de référence est celui de Juin 2019, soit une perte de "&amp;ROUND(AB482,0)&amp;" €"&amp;" ==&gt; "&amp;ROUND(AE482*100,0)&amp;" %","Le CA de référence est celui de la création, soit une perte de "&amp;ROUND(AB484,0)&amp;" €"&amp;" ==&gt; "&amp;ROUND(AE484*100,0)&amp;" %"),IF(AB482&gt;=AB483,"Le CA de référence est celui de Juin 2019, soit une perte de "&amp;ROUND(AB482,0)&amp;" €"&amp;" ==&gt; "&amp;ROUND(AE482*100,0)&amp;" %","Le CA de référence est celui de l'exercice 2019, soit une perte de "&amp;ROUND(AB483,0)&amp;" €"&amp;" ==&gt; "&amp;ROUND(AE483*100,0)&amp;" %")),"")</f>
        <v>Le CA de référence est celui de Juin 2019, soit une perte de 0 € ==&gt; 0 %</v>
      </c>
      <c r="E495" s="332"/>
      <c r="F495" s="332"/>
      <c r="G495" s="332"/>
      <c r="H495" s="332"/>
      <c r="I495" s="332"/>
      <c r="J495" s="332"/>
      <c r="K495" s="332"/>
      <c r="L495" s="332"/>
      <c r="M495" s="332"/>
      <c r="N495" s="332"/>
      <c r="O495" s="332"/>
      <c r="P495" s="1"/>
      <c r="T495" s="14"/>
      <c r="U495" s="336"/>
      <c r="V495" s="506" t="s">
        <v>393</v>
      </c>
      <c r="W495" s="506"/>
      <c r="X495" s="506"/>
      <c r="Y495" s="506"/>
      <c r="Z495" s="1"/>
      <c r="AA495" s="14"/>
      <c r="AB495" s="335">
        <f>IF('Mon Entreprise'!K8&gt;=Annexes!O20,IF(Y482&gt;=Y484,Y482,Y484),IF(Y482&gt;=Y483,Y482,Y483))</f>
        <v>0</v>
      </c>
      <c r="AC495" s="1"/>
      <c r="AD495" s="1"/>
      <c r="AE495" s="13"/>
    </row>
    <row r="496" spans="2:31" ht="15.75" hidden="1">
      <c r="B496" s="168"/>
      <c r="C496" s="332"/>
      <c r="D496" s="507" t="str">
        <f>IFERROR(IF('Mon Entreprise'!K8&gt;=Annexes!O20,"",IF(AB482&lt;AB483,"A noter qu'il convient de choisir l'option retenue par l'entreprise lors de sa demande au titre du mois Février 2021, ou a défaut celui du mois de Mars, d'Avril, ou Mai 2021, si le CA de référence était celui de février 2019, il convient de prendre"&amp;" celui de Juin 2019 (...), soit "&amp;ROUND(AB482,0)&amp;" €"&amp;" ==&gt; "&amp;ROUND(AE482*100,0)&amp;" %","A noter qu'il convient de choisir l'option retenue par l'entreprise lors de sa demande au titre du mois Février 2021, ou "&amp;"a défaut celui du mois de Mars, d'Avril,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2021, ou a défaut celui du mois de Mars, d'Avril, ou Mai 2021, si le CA de référence était celui de l'exercice 2019, il convient de prendre celui de l'exercie 2019, soit une perte de 0 € ==&gt; 0 %</v>
      </c>
      <c r="E496" s="507"/>
      <c r="F496" s="507"/>
      <c r="G496" s="507"/>
      <c r="H496" s="507"/>
      <c r="I496" s="507"/>
      <c r="J496" s="507"/>
      <c r="K496" s="507"/>
      <c r="L496" s="507"/>
      <c r="M496" s="507"/>
      <c r="N496" s="507"/>
      <c r="O496" s="507"/>
      <c r="P496" s="1"/>
      <c r="T496" s="14"/>
      <c r="U496" s="506" t="s">
        <v>84</v>
      </c>
      <c r="V496" s="506"/>
      <c r="W496" s="506"/>
      <c r="X496" s="506"/>
      <c r="Y496" s="506"/>
      <c r="Z496" s="1"/>
      <c r="AA496" s="14"/>
      <c r="AB496" s="333">
        <f>IF('Mon Entreprise'!K8&gt;=Annexes!O20,IF(AB482&gt;=AB484,AB482,AB484),IF(AB482&gt;=AB483,AB482,AB483))</f>
        <v>0</v>
      </c>
      <c r="AC496" s="1"/>
      <c r="AD496" s="1"/>
      <c r="AE496" s="13"/>
    </row>
    <row r="497" spans="1:31" ht="15.75" hidden="1">
      <c r="B497" s="168"/>
      <c r="C497" s="332"/>
      <c r="D497" s="507"/>
      <c r="E497" s="507"/>
      <c r="F497" s="507"/>
      <c r="G497" s="507"/>
      <c r="H497" s="507"/>
      <c r="I497" s="507"/>
      <c r="J497" s="507"/>
      <c r="K497" s="507"/>
      <c r="L497" s="507"/>
      <c r="M497" s="507"/>
      <c r="N497" s="507"/>
      <c r="O497" s="507"/>
      <c r="P497" s="1"/>
      <c r="T497" s="14"/>
      <c r="U497" s="506" t="s">
        <v>85</v>
      </c>
      <c r="V497" s="506"/>
      <c r="W497" s="506"/>
      <c r="X497" s="506"/>
      <c r="Y497" s="506"/>
      <c r="Z497" s="1"/>
      <c r="AA497" s="14"/>
      <c r="AB497" s="19">
        <f>IF('Mon Entreprise'!K8&gt;=Annexes!O20,IF(AB482&gt;=AB484,AE482,AE484),IF(AB482&gt;=AB483,AE482,AE483))</f>
        <v>0</v>
      </c>
      <c r="AC497" s="1"/>
      <c r="AD497" s="1"/>
      <c r="AE497" s="13"/>
    </row>
    <row r="498" spans="1:31" ht="16.5" hidden="1" thickBot="1">
      <c r="B498" s="103"/>
      <c r="C498" s="332"/>
      <c r="D498" s="60"/>
      <c r="E498" s="332"/>
      <c r="F498" s="332"/>
      <c r="G498" s="332"/>
      <c r="H498" s="332"/>
      <c r="I498" s="332"/>
      <c r="J498" s="332"/>
      <c r="K498" s="332"/>
      <c r="L498" s="332"/>
      <c r="M498" s="332"/>
      <c r="N498" s="332"/>
      <c r="O498" s="332"/>
      <c r="P498" s="1"/>
      <c r="T498" s="14"/>
      <c r="U498" s="1"/>
      <c r="V498" s="1"/>
      <c r="W498" s="1"/>
      <c r="X498" s="1"/>
      <c r="Y498" s="1"/>
      <c r="Z498" s="1"/>
      <c r="AA498" s="1"/>
      <c r="AB498" s="1"/>
      <c r="AC498" s="1"/>
      <c r="AD498" s="1"/>
      <c r="AE498" s="13"/>
    </row>
    <row r="499" spans="1:31" ht="15.75" hidden="1">
      <c r="B499" s="168"/>
      <c r="C499" s="332"/>
      <c r="D499" s="508" t="str">
        <f>IFERROR(IF(AB494="Non","Vous avez débuté votre activité après le 31 Janvier 2020, vous ne pouvez donc pas bénéficier de cette aide",IF(AND(AB512=TRUE,AB497&gt;=0.5),IF(AB496&gt;Annexes!O5,"Dans votre cas, l'aide est Plafonnée, à "&amp;Annexes!O5&amp;" € pour le mois de Juin","Vous pouvez bénéficier, au titre de cette aide, d'un montant de "&amp;ROUND(AB496,0)&amp;" € pour le mois de Juin"),"L'entreprise n'a pas une perte d'au moins 50 % en Juin 2021 ou n'a pas été en fermeture Administrative au moins 10 Jours")),"Vous n'avez pas indiqué de chiffre d'affaires de référence")</f>
        <v>L'entreprise n'a pas une perte d'au moins 50 % en Juin 2021 ou n'a pas été en fermeture Administrative au moins 10 Jours</v>
      </c>
      <c r="E499" s="509"/>
      <c r="F499" s="509"/>
      <c r="G499" s="509"/>
      <c r="H499" s="509"/>
      <c r="I499" s="509"/>
      <c r="J499" s="509"/>
      <c r="K499" s="509"/>
      <c r="L499" s="509"/>
      <c r="M499" s="509"/>
      <c r="N499" s="509"/>
      <c r="O499" s="510"/>
      <c r="P499" s="1"/>
      <c r="T499" s="14"/>
      <c r="U499" s="1"/>
      <c r="V499" s="1"/>
      <c r="W499" s="1"/>
      <c r="X499" s="1"/>
      <c r="Y499" s="1"/>
      <c r="Z499" s="1"/>
      <c r="AA499" s="1"/>
      <c r="AB499" s="1"/>
      <c r="AC499" s="1"/>
      <c r="AD499" s="1"/>
      <c r="AE499" s="13"/>
    </row>
    <row r="500" spans="1:31" ht="15.75" hidden="1" customHeight="1">
      <c r="B500" s="168"/>
      <c r="C500" s="332"/>
      <c r="D500" s="511"/>
      <c r="E500" s="512"/>
      <c r="F500" s="512"/>
      <c r="G500" s="512"/>
      <c r="H500" s="512"/>
      <c r="I500" s="512"/>
      <c r="J500" s="512"/>
      <c r="K500" s="512"/>
      <c r="L500" s="512"/>
      <c r="M500" s="512"/>
      <c r="N500" s="512"/>
      <c r="O500" s="513"/>
      <c r="P500" s="1"/>
      <c r="T500" s="14"/>
      <c r="U500" s="1"/>
      <c r="V500" s="1"/>
      <c r="W500" s="1"/>
      <c r="X500" s="1"/>
      <c r="Y500" s="1"/>
      <c r="Z500" s="1"/>
      <c r="AA500" s="1"/>
      <c r="AB500" s="1"/>
      <c r="AC500" s="1"/>
      <c r="AD500" s="1"/>
      <c r="AE500" s="13"/>
    </row>
    <row r="501" spans="1:31" ht="15.75" hidden="1" customHeight="1">
      <c r="B501" s="103"/>
      <c r="C501" s="332"/>
      <c r="D501" s="511"/>
      <c r="E501" s="512"/>
      <c r="F501" s="512"/>
      <c r="G501" s="512"/>
      <c r="H501" s="512"/>
      <c r="I501" s="512"/>
      <c r="J501" s="512"/>
      <c r="K501" s="512"/>
      <c r="L501" s="512"/>
      <c r="M501" s="512"/>
      <c r="N501" s="512"/>
      <c r="O501" s="513"/>
      <c r="P501" s="1"/>
      <c r="T501" s="14"/>
      <c r="U501" s="1"/>
      <c r="V501" s="1"/>
      <c r="W501" s="1"/>
      <c r="X501" s="1"/>
      <c r="Y501" s="1"/>
      <c r="Z501" s="1"/>
      <c r="AA501" s="1"/>
      <c r="AB501" s="1"/>
      <c r="AC501" s="1"/>
      <c r="AD501" s="1"/>
      <c r="AE501" s="13"/>
    </row>
    <row r="502" spans="1:31" ht="15.75" hidden="1" customHeight="1" thickBot="1">
      <c r="B502" s="103"/>
      <c r="C502" s="332"/>
      <c r="D502" s="514"/>
      <c r="E502" s="515"/>
      <c r="F502" s="515"/>
      <c r="G502" s="515"/>
      <c r="H502" s="515"/>
      <c r="I502" s="515"/>
      <c r="J502" s="515"/>
      <c r="K502" s="515"/>
      <c r="L502" s="515"/>
      <c r="M502" s="515"/>
      <c r="N502" s="515"/>
      <c r="O502" s="516"/>
      <c r="P502" s="1"/>
      <c r="T502" s="14"/>
      <c r="U502" s="1"/>
      <c r="V502" s="1"/>
      <c r="W502" s="1"/>
      <c r="X502" s="1"/>
      <c r="Y502" s="1"/>
      <c r="Z502" s="1"/>
      <c r="AA502" s="1"/>
      <c r="AB502" s="1"/>
      <c r="AC502" s="1"/>
      <c r="AD502" s="1"/>
      <c r="AE502" s="13"/>
    </row>
    <row r="503" spans="1:31" ht="16.5" hidden="1" customHeight="1">
      <c r="B503" s="103"/>
      <c r="C503" s="169"/>
      <c r="D503" s="517"/>
      <c r="E503" s="517"/>
      <c r="F503" s="517"/>
      <c r="G503" s="517"/>
      <c r="H503" s="517"/>
      <c r="I503" s="517"/>
      <c r="J503" s="517"/>
      <c r="K503" s="517"/>
      <c r="L503" s="517"/>
      <c r="M503" s="517"/>
      <c r="N503" s="517"/>
      <c r="O503" s="517"/>
      <c r="P503" s="1"/>
      <c r="T503" s="518" t="s">
        <v>4</v>
      </c>
      <c r="U503" s="519"/>
      <c r="V503" s="519"/>
      <c r="W503" s="519"/>
      <c r="X503" s="519"/>
      <c r="Y503" s="519"/>
      <c r="Z503" s="139"/>
      <c r="AA503" s="145"/>
      <c r="AB503" s="194">
        <f>IFERROR(IF('Mon Entreprise'!K8&gt;=Annexes!Q18,0,1-'Mon Entreprise'!M118/2/AB495),0)</f>
        <v>0</v>
      </c>
      <c r="AC503" s="1"/>
      <c r="AD503" s="1"/>
      <c r="AE503" s="13"/>
    </row>
    <row r="504" spans="1:31" ht="16.5" hidden="1" customHeight="1">
      <c r="B504" s="103"/>
      <c r="C504" s="332"/>
      <c r="D504" s="306"/>
      <c r="E504" s="306"/>
      <c r="F504" s="306"/>
      <c r="G504" s="306"/>
      <c r="H504" s="306"/>
      <c r="I504" s="306"/>
      <c r="J504" s="306"/>
      <c r="K504" s="306"/>
      <c r="L504" s="306"/>
      <c r="M504" s="306"/>
      <c r="N504" s="306"/>
      <c r="O504" s="306"/>
      <c r="P504" s="1"/>
      <c r="T504" s="110"/>
      <c r="U504" s="520" t="s">
        <v>102</v>
      </c>
      <c r="V504" s="520"/>
      <c r="W504" s="520"/>
      <c r="X504" s="520"/>
      <c r="Y504" s="520"/>
      <c r="Z504" s="139"/>
      <c r="AA504" s="145"/>
      <c r="AB504" s="194">
        <f>IFERROR(IF('Mon Entreprise'!K8&gt;Annexes!Q29,0,IF('Mon Entreprise'!K8&gt;Annexes!Q26,1,1-'Mon Entreprise'!M114/AB495)),0)</f>
        <v>0</v>
      </c>
      <c r="AC504" s="1"/>
      <c r="AD504" s="1"/>
      <c r="AE504" s="13"/>
    </row>
    <row r="505" spans="1:31" ht="16.5" hidden="1" customHeight="1">
      <c r="B505" s="103"/>
      <c r="C505" s="505" t="s">
        <v>515</v>
      </c>
      <c r="D505" s="505"/>
      <c r="E505" s="505"/>
      <c r="F505" s="505"/>
      <c r="G505" s="505"/>
      <c r="H505" s="505"/>
      <c r="I505" s="505"/>
      <c r="J505" s="505"/>
      <c r="K505" s="505"/>
      <c r="L505" s="505"/>
      <c r="M505" s="505"/>
      <c r="N505" s="505"/>
      <c r="O505" s="505"/>
      <c r="P505" s="1"/>
      <c r="T505" s="110"/>
      <c r="U505" s="520" t="s">
        <v>109</v>
      </c>
      <c r="V505" s="520"/>
      <c r="W505" s="520"/>
      <c r="X505" s="520"/>
      <c r="Y505" s="520"/>
      <c r="Z505" s="139"/>
      <c r="AA505" s="145"/>
      <c r="AB505" s="194">
        <f>IFERROR(IF(Annexes!O27&gt;'Mon Entreprise'!K8,1-'Mon Entreprise'!M98/'Mon Entreprise'!I98,0),0)</f>
        <v>0</v>
      </c>
      <c r="AC505" s="1"/>
      <c r="AD505" s="1"/>
      <c r="AE505" s="13"/>
    </row>
    <row r="506" spans="1:31" ht="16.5" hidden="1" customHeight="1">
      <c r="B506" s="103"/>
      <c r="C506" s="505"/>
      <c r="D506" s="505"/>
      <c r="E506" s="505"/>
      <c r="F506" s="505"/>
      <c r="G506" s="505"/>
      <c r="H506" s="505"/>
      <c r="I506" s="505"/>
      <c r="J506" s="505"/>
      <c r="K506" s="505"/>
      <c r="L506" s="505"/>
      <c r="M506" s="505"/>
      <c r="N506" s="505"/>
      <c r="O506" s="505"/>
      <c r="P506" s="1"/>
      <c r="T506" s="110"/>
      <c r="U506" s="368"/>
      <c r="V506" s="368"/>
      <c r="W506" s="368"/>
      <c r="X506" s="368"/>
      <c r="Y506" s="368"/>
      <c r="Z506" s="139"/>
      <c r="AA506" s="145"/>
      <c r="AB506" s="194"/>
      <c r="AC506" s="1"/>
      <c r="AD506" s="1"/>
      <c r="AE506" s="13"/>
    </row>
    <row r="507" spans="1:31" ht="16.5" hidden="1" customHeight="1">
      <c r="B507" s="103"/>
      <c r="C507" s="505"/>
      <c r="D507" s="505"/>
      <c r="E507" s="505"/>
      <c r="F507" s="505"/>
      <c r="G507" s="505"/>
      <c r="H507" s="505"/>
      <c r="I507" s="505"/>
      <c r="J507" s="505"/>
      <c r="K507" s="505"/>
      <c r="L507" s="505"/>
      <c r="M507" s="505"/>
      <c r="N507" s="505"/>
      <c r="O507" s="505"/>
      <c r="P507" s="1"/>
      <c r="T507" s="110"/>
      <c r="U507" s="337"/>
      <c r="V507" s="337"/>
      <c r="W507" s="337"/>
      <c r="X507" s="337"/>
      <c r="Y507" s="337"/>
      <c r="Z507" s="139"/>
      <c r="AA507" s="145"/>
      <c r="AB507" s="194"/>
      <c r="AC507" s="1"/>
      <c r="AD507" s="1"/>
      <c r="AE507" s="13"/>
    </row>
    <row r="508" spans="1:31" ht="16.5" hidden="1" customHeight="1">
      <c r="B508" s="103"/>
      <c r="C508" s="505"/>
      <c r="D508" s="505"/>
      <c r="E508" s="505"/>
      <c r="F508" s="505"/>
      <c r="G508" s="505"/>
      <c r="H508" s="505"/>
      <c r="I508" s="505"/>
      <c r="J508" s="505"/>
      <c r="K508" s="505"/>
      <c r="L508" s="505"/>
      <c r="M508" s="505"/>
      <c r="N508" s="505"/>
      <c r="O508" s="505"/>
      <c r="P508" s="1"/>
      <c r="T508" s="14"/>
      <c r="U508" s="521" t="s">
        <v>8</v>
      </c>
      <c r="V508" s="521"/>
      <c r="W508" s="521"/>
      <c r="X508" s="521"/>
      <c r="Y508" s="521"/>
      <c r="Z508" s="1"/>
      <c r="AA508" s="14"/>
      <c r="AB508" s="333" t="str">
        <f>IF((AND(Annexes!F5&gt;1,Annexes!F5&lt;=Annexes!H6,AB515&gt;=0.1)),"OUI","NON")</f>
        <v>NON</v>
      </c>
      <c r="AC508" s="1"/>
      <c r="AD508" s="1"/>
      <c r="AE508" s="13"/>
    </row>
    <row r="509" spans="1:31" ht="26.25" hidden="1" customHeight="1">
      <c r="B509" s="103"/>
      <c r="C509" s="352"/>
      <c r="D509" s="564" t="s">
        <v>513</v>
      </c>
      <c r="E509" s="564"/>
      <c r="F509" s="564"/>
      <c r="G509" s="564"/>
      <c r="H509" s="564"/>
      <c r="I509" s="564"/>
      <c r="J509" s="564"/>
      <c r="K509" s="564"/>
      <c r="L509" s="564"/>
      <c r="M509" s="564"/>
      <c r="N509" s="564"/>
      <c r="O509" s="564"/>
      <c r="P509" s="1"/>
      <c r="T509" s="14"/>
      <c r="U509" s="338"/>
      <c r="V509" s="338"/>
      <c r="W509" s="338"/>
      <c r="X509" s="338"/>
      <c r="Y509" s="338" t="s">
        <v>9</v>
      </c>
      <c r="Z509" s="1"/>
      <c r="AA509" s="14"/>
      <c r="AB509" s="333" t="str">
        <f>IF(AND(Annexes!F7&gt;1,Annexes!F7&lt;=Annexes!H8,AB515&gt;=0.1),"OUI","NON")</f>
        <v>NON</v>
      </c>
      <c r="AC509" s="1"/>
      <c r="AD509" s="1"/>
      <c r="AE509" s="13"/>
    </row>
    <row r="510" spans="1:31" ht="16.5" hidden="1" customHeight="1">
      <c r="B510" s="103"/>
      <c r="C510" s="332"/>
      <c r="D510" s="306"/>
      <c r="E510" s="522" t="str">
        <f>IF(AB513="NON","",IF(OR(AB508="OUI",AB510="OUI",AND(AB509="OUI",OR(AB503&gt;=Annexes!P5,AB504&gt;=Annexes!P5,'Mes Aides'!AB145&gt;=0.1))),"",IF(AND(AB509="OUI",OR(AB503&lt;Annexes!P5,AB504&lt;Annexes!P5,'Mes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510" s="522"/>
      <c r="G510" s="522"/>
      <c r="H510" s="522"/>
      <c r="I510" s="522"/>
      <c r="J510" s="522"/>
      <c r="K510" s="522"/>
      <c r="L510" s="522"/>
      <c r="M510" s="522"/>
      <c r="N510" s="522"/>
      <c r="O510" s="522"/>
      <c r="P510" s="1"/>
      <c r="T510" s="491" t="s">
        <v>474</v>
      </c>
      <c r="U510" s="490"/>
      <c r="V510" s="490"/>
      <c r="W510" s="490"/>
      <c r="X510" s="490"/>
      <c r="Y510" s="490"/>
      <c r="Z510" s="1"/>
      <c r="AA510" s="14"/>
      <c r="AB510" s="333" t="str">
        <f>IF(AND(Annexes!M24=TRUE,AB515&gt;=0.1),"OUI","NON")</f>
        <v>NON</v>
      </c>
      <c r="AC510" s="1"/>
      <c r="AD510" s="1"/>
      <c r="AE510" s="13"/>
    </row>
    <row r="511" spans="1:31" ht="16.5" hidden="1" customHeight="1">
      <c r="B511" s="103"/>
      <c r="C511" s="332"/>
      <c r="D511" s="306"/>
      <c r="E511" s="522"/>
      <c r="F511" s="522"/>
      <c r="G511" s="522"/>
      <c r="H511" s="522"/>
      <c r="I511" s="522"/>
      <c r="J511" s="522"/>
      <c r="K511" s="522"/>
      <c r="L511" s="522"/>
      <c r="M511" s="522"/>
      <c r="N511" s="522"/>
      <c r="O511" s="522"/>
      <c r="P511" s="1"/>
      <c r="T511" s="14"/>
      <c r="U511" s="490" t="s">
        <v>490</v>
      </c>
      <c r="V511" s="490"/>
      <c r="W511" s="490"/>
      <c r="X511" s="490"/>
      <c r="Y511" s="490"/>
      <c r="Z511" s="1"/>
      <c r="AA511" s="14"/>
      <c r="AB511" s="333" t="b">
        <f>IF(AND(Annexes!M35=TRUE,,AB515&gt;=0.2),TRUE,FALSE)</f>
        <v>0</v>
      </c>
      <c r="AC511" s="1"/>
      <c r="AD511" s="1"/>
      <c r="AE511" s="13"/>
    </row>
    <row r="512" spans="1:31" ht="16.5" hidden="1" customHeight="1">
      <c r="A512" s="99"/>
      <c r="B512" s="103"/>
      <c r="C512" s="332"/>
      <c r="D512" s="523" t="str">
        <f>IFERROR(IF('Mon Entreprise'!K8&gt;=Annexes!O20,IF(AB482&gt;=AB484,"- Le CA de référence est celui de Juin 2019, soit une perte de "&amp;ROUND(AB482,0)&amp;" €"&amp;" ==&gt; "&amp;ROUND(AE482*100,0)&amp;" %","- Le CA de référence est celui de la création, soit une perte de "&amp;ROUND(AB484,0)&amp;" €"&amp;" ==&gt; "&amp;ROUND(AE484*100,0)&amp;" %"),IF(AB482&gt;=AB483,"- Le CA de référence est celui de Juin 2019, soit une perte de "&amp;ROUND(AB482,0)&amp;" €"&amp;" ==&gt; "&amp;ROUND(AE482*100,0)&amp;" %","- Le CA de référence est celui de l'exercice 2019, soit une perte de "&amp;ROUND(AB483,0)&amp;" €"&amp;" ==&gt; "&amp;ROUND(AE483*100,0)&amp;" %")),"")</f>
        <v>- Le CA de référence est celui de Juin 2019, soit une perte de 0 € ==&gt; 0 %</v>
      </c>
      <c r="E512" s="523"/>
      <c r="F512" s="523"/>
      <c r="G512" s="523"/>
      <c r="H512" s="523"/>
      <c r="I512" s="523"/>
      <c r="J512" s="523"/>
      <c r="K512" s="523"/>
      <c r="L512" s="523"/>
      <c r="M512" s="523"/>
      <c r="N512" s="523"/>
      <c r="O512" s="523"/>
      <c r="P512" s="1"/>
      <c r="T512" s="14"/>
      <c r="U512" s="333"/>
      <c r="V512" s="333"/>
      <c r="W512" s="333"/>
      <c r="X512" s="333"/>
      <c r="Y512" s="349" t="s">
        <v>491</v>
      </c>
      <c r="Z512" s="1"/>
      <c r="AA512" s="14"/>
      <c r="AB512" s="333" t="b">
        <f>IF(AND(Annexes!M36=TRUE,AB515&gt;=0.5),TRUE,FALSE)</f>
        <v>0</v>
      </c>
      <c r="AC512" s="1"/>
      <c r="AD512" s="1"/>
      <c r="AE512" s="13"/>
    </row>
    <row r="513" spans="1:31" ht="16.5" hidden="1" customHeight="1">
      <c r="A513" s="99"/>
      <c r="B513" s="103"/>
      <c r="C513" s="332"/>
      <c r="D513" s="524" t="str">
        <f>IFERROR(IF('Mon Entreprise'!K8&gt;=Annexes!O20,"",IF(AB482&lt;AB483,"A noter qu'il convient de choisir l'option retenue par l'entreprise lors de sa demande au titre du mois Février ou a défaut celui du mois de Mars, d'Avril, ou Mai 2021, si le CA de référence était celui de février (...) 2019,"&amp;" il convient de prendre celui de Juin 2019 (...), soit "&amp;ROUND(AB482,0)&amp;" €"&amp;" ==&gt; "&amp;ROUND(AE482*100,0)&amp;" %","A noter qu'il convient de choisir l'option retenue par l'entreprise lors de sa demande"&amp;" au titre du mois Février  ou a défaut celui du mois de Mars, d'Avril,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ou a défaut celui du mois de Mars, d'Avril, ou Mai 2021, si le CA de référence était celui de l'exercice 2019, il convient de prendre celui de l'exercie 2019, soit une perte de 0 € ==&gt; 0 %</v>
      </c>
      <c r="E513" s="524"/>
      <c r="F513" s="524"/>
      <c r="G513" s="524"/>
      <c r="H513" s="524"/>
      <c r="I513" s="524"/>
      <c r="J513" s="524"/>
      <c r="K513" s="524"/>
      <c r="L513" s="524"/>
      <c r="M513" s="524"/>
      <c r="N513" s="524"/>
      <c r="O513" s="524"/>
      <c r="P513" s="1"/>
      <c r="T513" s="14"/>
      <c r="U513" s="525" t="s">
        <v>72</v>
      </c>
      <c r="V513" s="525"/>
      <c r="W513" s="525"/>
      <c r="X513" s="525"/>
      <c r="Y513" s="525"/>
      <c r="Z513" s="139"/>
      <c r="AA513" s="145"/>
      <c r="AB513" s="335" t="str">
        <f>IF(AB494="Oui","Oui","Non")</f>
        <v>Oui</v>
      </c>
      <c r="AC513" s="139"/>
      <c r="AD513" s="1"/>
      <c r="AE513" s="13"/>
    </row>
    <row r="514" spans="1:31" ht="16.5" hidden="1" customHeight="1">
      <c r="A514" s="99"/>
      <c r="B514" s="103"/>
      <c r="C514" s="332"/>
      <c r="D514" s="524"/>
      <c r="E514" s="524"/>
      <c r="F514" s="524"/>
      <c r="G514" s="524"/>
      <c r="H514" s="524"/>
      <c r="I514" s="524"/>
      <c r="J514" s="524"/>
      <c r="K514" s="524"/>
      <c r="L514" s="524"/>
      <c r="M514" s="524"/>
      <c r="N514" s="524"/>
      <c r="O514" s="524"/>
      <c r="P514" s="1"/>
      <c r="T514" s="14"/>
      <c r="U514" s="525" t="s">
        <v>84</v>
      </c>
      <c r="V514" s="525"/>
      <c r="W514" s="525"/>
      <c r="X514" s="525"/>
      <c r="Y514" s="525"/>
      <c r="Z514" s="139"/>
      <c r="AA514" s="145"/>
      <c r="AB514" s="335">
        <f>IF('Mon Entreprise'!K8&gt;=Annexes!O20,IF(AB482&gt;=AB484,AB482,AB484),IF(AB482&gt;=AB483,AB482,AB483))</f>
        <v>0</v>
      </c>
      <c r="AC514" s="139"/>
      <c r="AD514" s="1"/>
      <c r="AE514" s="13"/>
    </row>
    <row r="515" spans="1:31" ht="16.5" hidden="1" customHeight="1">
      <c r="B515" s="103"/>
      <c r="C515" s="332"/>
      <c r="D515" s="215"/>
      <c r="E515" s="331"/>
      <c r="F515" s="331"/>
      <c r="G515" s="331"/>
      <c r="H515" s="331"/>
      <c r="I515" s="331"/>
      <c r="J515" s="331"/>
      <c r="K515" s="331"/>
      <c r="L515" s="331"/>
      <c r="M515" s="331"/>
      <c r="N515" s="331"/>
      <c r="O515" s="331"/>
      <c r="P515" s="1"/>
      <c r="T515" s="14"/>
      <c r="U515" s="525" t="s">
        <v>85</v>
      </c>
      <c r="V515" s="525"/>
      <c r="W515" s="525"/>
      <c r="X515" s="525"/>
      <c r="Y515" s="525"/>
      <c r="Z515" s="139"/>
      <c r="AA515" s="145"/>
      <c r="AB515" s="335">
        <f>IF('Mon Entreprise'!K8&gt;=Annexes!O20,IF(AB482&gt;=AB484,AE482,AE484),IF(AB482&gt;=AB483,AE482,AE483))</f>
        <v>0</v>
      </c>
      <c r="AC515" s="139"/>
      <c r="AD515" s="1"/>
      <c r="AE515" s="13"/>
    </row>
    <row r="516" spans="1:31" ht="16.5" hidden="1" customHeight="1" thickBot="1">
      <c r="B516" s="103"/>
      <c r="C516" s="332"/>
      <c r="D516" s="331"/>
      <c r="E516" s="331"/>
      <c r="F516" s="331"/>
      <c r="G516" s="331"/>
      <c r="H516" s="331"/>
      <c r="I516" s="331"/>
      <c r="J516" s="331"/>
      <c r="K516" s="331"/>
      <c r="L516" s="331"/>
      <c r="M516" s="331"/>
      <c r="N516" s="331"/>
      <c r="O516" s="331"/>
      <c r="P516" s="1"/>
      <c r="T516" s="14"/>
      <c r="U516" s="502" t="s">
        <v>74</v>
      </c>
      <c r="V516" s="502"/>
      <c r="W516" s="502"/>
      <c r="X516" s="502"/>
      <c r="Y516" s="502"/>
      <c r="Z516" s="139"/>
      <c r="AA516" s="145"/>
      <c r="AB516" s="335">
        <v>1</v>
      </c>
      <c r="AC516" s="139"/>
      <c r="AD516" s="1"/>
      <c r="AE516" s="13"/>
    </row>
    <row r="517" spans="1:31" ht="16.5" hidden="1" customHeight="1">
      <c r="B517" s="103"/>
      <c r="C517" s="332"/>
      <c r="D517" s="527" t="str">
        <f>IFERROR(IF(AB513="NON","Vous avez débuté votre activité après le 31 Janvier 2020, vous ne pouvez donc pas bénéficier de cette aide",IF(OR(AB508="OUI",AB510="OUI",AND(AB509="OUI",OR(AB503&lt;Annexes!P5,AB504&lt;Annexes!P5,'Mes Aides'!AB198&lt;0.1))),IF(AND(0.4*AB518&gt;Annexes!O8,0.2*AB517&gt;Annexes!O8),"Dans votre cas, l'aide est plafonnée, à "&amp;Annexes!O8&amp;" € pour le mois de Juin",IF(0.4*AB518&gt;=0.2*AB517,"Dans votre cas, 40 % de la perte est supérieur à 20 % du CA, l'aide est donc plafonnée à 20 % du CA, soit "&amp;ROUND(0.2*AB517,0)&amp;" € pour le mois de Juin","Dans votre cas, 40% de la perte est inférieure à 20 % du CA, l'aide est donc plafonnée à 40 % de la perte, soit "&amp;ROUND(0.4*AB518,0)&amp;" € pour le mois de Juin")),"Vous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517" s="509"/>
      <c r="F517" s="509"/>
      <c r="G517" s="509"/>
      <c r="H517" s="509"/>
      <c r="I517" s="509"/>
      <c r="J517" s="509"/>
      <c r="K517" s="509"/>
      <c r="L517" s="509"/>
      <c r="M517" s="509"/>
      <c r="N517" s="509"/>
      <c r="O517" s="510"/>
      <c r="P517" s="1"/>
      <c r="T517" s="14"/>
      <c r="U517" s="502" t="s">
        <v>80</v>
      </c>
      <c r="V517" s="502"/>
      <c r="W517" s="502"/>
      <c r="X517" s="502"/>
      <c r="Y517" s="502"/>
      <c r="Z517" s="139"/>
      <c r="AA517" s="145"/>
      <c r="AB517" s="335">
        <f>IF('Mon Entreprise'!K8&gt;=Annexes!O20,IF(AB482&gt;=AB484,Y482,Y484),IF(AB482&gt;=AB483,Y482,Y483))</f>
        <v>0</v>
      </c>
      <c r="AC517" s="139"/>
      <c r="AD517" s="1"/>
      <c r="AE517" s="13"/>
    </row>
    <row r="518" spans="1:31" ht="16.5" hidden="1" customHeight="1">
      <c r="B518" s="173"/>
      <c r="C518" s="332"/>
      <c r="D518" s="511"/>
      <c r="E518" s="512"/>
      <c r="F518" s="512"/>
      <c r="G518" s="512"/>
      <c r="H518" s="512"/>
      <c r="I518" s="512"/>
      <c r="J518" s="512"/>
      <c r="K518" s="512"/>
      <c r="L518" s="512"/>
      <c r="M518" s="512"/>
      <c r="N518" s="512"/>
      <c r="O518" s="513"/>
      <c r="P518" s="1"/>
      <c r="T518" s="14"/>
      <c r="U518" s="490" t="s">
        <v>104</v>
      </c>
      <c r="V518" s="490"/>
      <c r="W518" s="490"/>
      <c r="X518" s="490"/>
      <c r="Y518" s="490"/>
      <c r="Z518" s="1"/>
      <c r="AA518" s="14"/>
      <c r="AB518" s="333">
        <f>IF(AB516=1,AB514,IF(AB514*AB516&gt;1500,IF(AB514&gt;1500,AB514*AB516,"Impossible"),IF(AB514&lt;1500,AB514,1500)))</f>
        <v>0</v>
      </c>
      <c r="AC518" s="1"/>
      <c r="AD518" s="1"/>
      <c r="AE518" s="13"/>
    </row>
    <row r="519" spans="1:31" ht="16.5" hidden="1" customHeight="1">
      <c r="B519" s="103"/>
      <c r="C519" s="332"/>
      <c r="D519" s="511"/>
      <c r="E519" s="512"/>
      <c r="F519" s="512"/>
      <c r="G519" s="512"/>
      <c r="H519" s="512"/>
      <c r="I519" s="512"/>
      <c r="J519" s="512"/>
      <c r="K519" s="512"/>
      <c r="L519" s="512"/>
      <c r="M519" s="512"/>
      <c r="N519" s="512"/>
      <c r="O519" s="513"/>
      <c r="P519" s="1"/>
      <c r="T519" s="14"/>
      <c r="U519" s="333"/>
      <c r="V519" s="333"/>
      <c r="W519" s="333"/>
      <c r="X519" s="333"/>
      <c r="Y519" s="333"/>
      <c r="Z519" s="1"/>
      <c r="AA519" s="1"/>
      <c r="AB519" s="1"/>
      <c r="AC519" s="1"/>
      <c r="AD519" s="1"/>
      <c r="AE519" s="13"/>
    </row>
    <row r="520" spans="1:31" ht="16.5" hidden="1" customHeight="1" thickBot="1">
      <c r="B520" s="103"/>
      <c r="C520" s="332"/>
      <c r="D520" s="514"/>
      <c r="E520" s="515"/>
      <c r="F520" s="515"/>
      <c r="G520" s="515"/>
      <c r="H520" s="515"/>
      <c r="I520" s="515"/>
      <c r="J520" s="515"/>
      <c r="K520" s="515"/>
      <c r="L520" s="515"/>
      <c r="M520" s="515"/>
      <c r="N520" s="515"/>
      <c r="O520" s="516"/>
      <c r="P520" s="1"/>
      <c r="T520" s="14"/>
      <c r="U520" s="490"/>
      <c r="V520" s="490"/>
      <c r="W520" s="490"/>
      <c r="X520" s="490"/>
      <c r="Y520" s="490"/>
      <c r="Z520" s="1"/>
      <c r="AA520" s="1"/>
      <c r="AB520" s="1"/>
      <c r="AC520" s="1"/>
      <c r="AD520" s="1"/>
      <c r="AE520" s="13"/>
    </row>
    <row r="521" spans="1:31" ht="16.5" hidden="1" customHeight="1">
      <c r="B521" s="103"/>
      <c r="C521" s="169"/>
      <c r="D521" s="174"/>
      <c r="E521" s="174"/>
      <c r="F521" s="174"/>
      <c r="G521" s="174"/>
      <c r="H521" s="174"/>
      <c r="I521" s="174"/>
      <c r="J521" s="174"/>
      <c r="K521" s="174"/>
      <c r="L521" s="174"/>
      <c r="M521" s="174"/>
      <c r="N521" s="174"/>
      <c r="O521" s="174"/>
      <c r="P521" s="1"/>
      <c r="T521" s="14"/>
      <c r="U521" s="333"/>
      <c r="V521" s="333"/>
      <c r="W521" s="333"/>
      <c r="X521" s="333"/>
      <c r="Y521" s="333"/>
      <c r="Z521" s="1"/>
      <c r="AA521" s="1"/>
      <c r="AB521" s="1"/>
      <c r="AC521" s="1"/>
      <c r="AD521" s="1"/>
      <c r="AE521" s="13"/>
    </row>
    <row r="522" spans="1:31" ht="16.5" hidden="1" customHeight="1">
      <c r="B522" s="103"/>
      <c r="C522" s="332"/>
      <c r="D522" s="331"/>
      <c r="E522" s="331"/>
      <c r="F522" s="331"/>
      <c r="G522" s="331"/>
      <c r="H522" s="331"/>
      <c r="I522" s="331"/>
      <c r="J522" s="331"/>
      <c r="K522" s="331"/>
      <c r="L522" s="331"/>
      <c r="M522" s="331"/>
      <c r="N522" s="331"/>
      <c r="O522" s="331"/>
      <c r="P522" s="1"/>
      <c r="T522" s="14"/>
      <c r="U522" s="1"/>
      <c r="V522" s="1"/>
      <c r="W522" s="1"/>
      <c r="X522" s="1"/>
      <c r="Y522" s="1"/>
      <c r="Z522" s="1"/>
      <c r="AA522" s="1"/>
      <c r="AB522" s="1"/>
      <c r="AC522" s="1"/>
      <c r="AD522" s="1"/>
      <c r="AE522" s="13"/>
    </row>
    <row r="523" spans="1:31" ht="16.5" hidden="1" customHeight="1">
      <c r="B523" s="103"/>
      <c r="C523" s="529" t="s">
        <v>479</v>
      </c>
      <c r="D523" s="529"/>
      <c r="E523" s="529"/>
      <c r="F523" s="529"/>
      <c r="G523" s="529"/>
      <c r="H523" s="529"/>
      <c r="I523" s="529"/>
      <c r="J523" s="529"/>
      <c r="K523" s="529"/>
      <c r="L523" s="529"/>
      <c r="M523" s="529"/>
      <c r="N523" s="529"/>
      <c r="O523" s="529"/>
      <c r="P523" s="1"/>
      <c r="T523" s="14"/>
      <c r="U523" s="1"/>
      <c r="V523" s="1"/>
      <c r="W523" s="1"/>
      <c r="X523" s="1"/>
      <c r="Y523" s="1"/>
      <c r="Z523" s="1"/>
      <c r="AA523" s="1"/>
      <c r="AB523" s="1"/>
      <c r="AC523" s="1"/>
      <c r="AD523" s="1"/>
      <c r="AE523" s="13"/>
    </row>
    <row r="524" spans="1:31" ht="16.5" hidden="1" customHeight="1">
      <c r="B524" s="173"/>
      <c r="C524" s="332"/>
      <c r="D524" s="306"/>
      <c r="E524" s="528" t="str">
        <f>IF(AB513="NON","",IF(AB511=TRUE,"","L'entreprise n'a pas été en fermeture administrative sur le mois avec une perte de 20 % de CA"))</f>
        <v>L'entreprise n'a pas été en fermeture administrative sur le mois avec une perte de 20 % de CA</v>
      </c>
      <c r="F524" s="528"/>
      <c r="G524" s="528"/>
      <c r="H524" s="528"/>
      <c r="I524" s="528"/>
      <c r="J524" s="528"/>
      <c r="K524" s="528"/>
      <c r="L524" s="528"/>
      <c r="M524" s="528"/>
      <c r="N524" s="528"/>
      <c r="O524" s="528"/>
      <c r="P524" s="1"/>
      <c r="T524" s="14"/>
      <c r="U524" s="502" t="s">
        <v>82</v>
      </c>
      <c r="V524" s="502"/>
      <c r="W524" s="502"/>
      <c r="X524" s="502"/>
      <c r="Y524" s="502"/>
      <c r="Z524" s="68"/>
      <c r="AA524" s="1"/>
      <c r="AB524" s="1">
        <f>IFERROR(IF(AB494="Non",0,IF(AND(AB512=TRUE,AB497&gt;=0.5),IF(AB496&gt;Annexes!O5,Annexes!O5,ROUND(AB496,0)),0)),0)</f>
        <v>0</v>
      </c>
      <c r="AC524" s="1"/>
      <c r="AD524" s="1"/>
      <c r="AE524" s="13"/>
    </row>
    <row r="525" spans="1:31" ht="15" hidden="1" customHeight="1">
      <c r="B525" s="173"/>
      <c r="C525" s="332"/>
      <c r="D525" s="306"/>
      <c r="E525" s="528"/>
      <c r="F525" s="528"/>
      <c r="G525" s="528"/>
      <c r="H525" s="528"/>
      <c r="I525" s="528"/>
      <c r="J525" s="528"/>
      <c r="K525" s="528"/>
      <c r="L525" s="528"/>
      <c r="M525" s="528"/>
      <c r="N525" s="528"/>
      <c r="O525" s="528"/>
      <c r="P525" s="1"/>
      <c r="T525" s="14"/>
      <c r="U525" s="502" t="s">
        <v>477</v>
      </c>
      <c r="V525" s="502"/>
      <c r="W525" s="502"/>
      <c r="X525" s="502"/>
      <c r="Y525" s="502"/>
      <c r="Z525" s="68"/>
      <c r="AA525" s="1"/>
      <c r="AB525" s="1">
        <f>IFERROR(IF(AB513="NON",0,IF(OR(AB508="OUI",AB510="OUI",AND(AB509="OUI",OR(AB503&lt;Annexes!P5,AB504&lt;Annexes!P5,'Mes Aides'!AB198&lt;0.1))),IF(AND(0.4*AB518,0.2*AB517)&lt;Annexes!O8,Annexes!O8,IF(0.4*AB518&gt;=0.2*AB517,ROUND(0.2*AB517,0),ROUND(0.4*AB518,0))),0)),0)</f>
        <v>0</v>
      </c>
      <c r="AC525" s="1"/>
      <c r="AD525" s="1"/>
      <c r="AE525" s="13"/>
    </row>
    <row r="526" spans="1:31" ht="15" hidden="1" customHeight="1">
      <c r="B526" s="173"/>
      <c r="C526" s="332"/>
      <c r="D526" s="306"/>
      <c r="E526" s="353"/>
      <c r="F526" s="353"/>
      <c r="G526" s="353"/>
      <c r="H526" s="353"/>
      <c r="I526" s="353"/>
      <c r="J526" s="353"/>
      <c r="K526" s="353"/>
      <c r="L526" s="353"/>
      <c r="M526" s="353"/>
      <c r="N526" s="353"/>
      <c r="O526" s="353"/>
      <c r="P526" s="1"/>
      <c r="T526" s="14"/>
      <c r="U526" s="502" t="s">
        <v>478</v>
      </c>
      <c r="V526" s="502"/>
      <c r="W526" s="502"/>
      <c r="X526" s="502"/>
      <c r="Y526" s="502"/>
      <c r="Z526" s="68"/>
      <c r="AA526" s="1"/>
      <c r="AB526" s="1">
        <f>IFERROR(IF(AB513="NON",0,IF(AB511=TRUE,IF(AB517*0.2&gt;Annexes!O8,Annexes!O8,ROUND(AB517*0.2,0)),0)),0)</f>
        <v>0</v>
      </c>
      <c r="AC526" s="1"/>
      <c r="AD526" s="1"/>
      <c r="AE526" s="13"/>
    </row>
    <row r="527" spans="1:31" ht="16.5" hidden="1" customHeight="1">
      <c r="B527" s="173"/>
      <c r="C527" s="332"/>
      <c r="D527" s="417" t="str">
        <f>IFERROR(IF('Mon Entreprise'!K8&gt;=Annexes!O20,IF(AB482&gt;=AB484,"- Le CA de référence est celui de Juin 2019, soit une perte de "&amp;ROUND(AB482,0)&amp;" €"&amp;" ==&gt; "&amp;ROUND(AE482*100,0)&amp;" %","- Le CA de référence est celui de la création, soit une perte de "&amp;ROUND(AB484,0)&amp;" €"&amp;" ==&gt; "&amp;ROUND(AE484*100,0)&amp;" %"),IF(AB482&gt;=AB483,"- Le CA de référence est celui de Juin 2019, soit une perte de "&amp;ROUND(AB482,0)&amp;" €"&amp;" ==&gt; "&amp;ROUND(AE482*100,0)&amp;" %","- Le CA de référence est celui de l'exercice 2019, soit une perte de "&amp;ROUND(AB483,0)&amp;" €"&amp;" ==&gt; "&amp;ROUND(AE483*100,0)&amp;" %")),"")</f>
        <v>- Le CA de référence est celui de Juin 2019, soit une perte de 0 € ==&gt; 0 %</v>
      </c>
      <c r="E527" s="417"/>
      <c r="F527" s="417"/>
      <c r="G527" s="417"/>
      <c r="H527" s="417"/>
      <c r="I527" s="417"/>
      <c r="J527" s="417"/>
      <c r="K527" s="417"/>
      <c r="L527" s="417"/>
      <c r="M527" s="417"/>
      <c r="N527" s="417"/>
      <c r="O527" s="417"/>
      <c r="P527" s="331"/>
      <c r="Q527" s="331"/>
      <c r="T527" s="14"/>
      <c r="U527" s="1"/>
      <c r="V527" s="1"/>
      <c r="W527" s="1"/>
      <c r="X527" s="1"/>
      <c r="Y527" s="1"/>
      <c r="Z527" s="1"/>
      <c r="AA527" s="1"/>
      <c r="AB527" s="1"/>
      <c r="AC527" s="1"/>
      <c r="AD527" s="1"/>
      <c r="AE527" s="13"/>
    </row>
    <row r="528" spans="1:31" ht="16.5" hidden="1" customHeight="1">
      <c r="B528" s="173"/>
      <c r="C528" s="332"/>
      <c r="D528" s="524" t="str">
        <f>IFERROR(IF('Mon Entreprise'!K8&gt;=Annexes!O20,"",IF(AB482&lt;AB483,"A noter qu'il convient de choisir l'option retenue par l'entreprise lors de sa demande au titre du mois Février ou a défaut celui du mois de Mars, Avril, ou Mai 2021, si le CA de référence était celui de février (...) 2019, il convient"&amp;" de prendre celui de Juin 2019 (...), soit "&amp;ROUND(AB482,0)&amp;" €"&amp;" ==&gt; "&amp;ROUND(AE482*100,0)&amp;" %","A noter qu'il convient de choisir l'option retenue par l'entreprise lors de sa demande au titre du mois Février "&amp;"ou a défaut celui du mois de Mars, 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ou a défaut celui du mois de Mars, Avril, ou Mai 2021, si le CA de référence était celui de l'exercice 2019, il convient de prendre celui de l'exercie 2019, soit une perte de 0 € ==&gt; 0 %</v>
      </c>
      <c r="E528" s="524"/>
      <c r="F528" s="524"/>
      <c r="G528" s="524"/>
      <c r="H528" s="524"/>
      <c r="I528" s="524"/>
      <c r="J528" s="524"/>
      <c r="K528" s="524"/>
      <c r="L528" s="524"/>
      <c r="M528" s="524"/>
      <c r="N528" s="524"/>
      <c r="O528" s="524"/>
      <c r="P528" s="331"/>
      <c r="Q528" s="331"/>
      <c r="T528" s="14"/>
      <c r="U528" s="1"/>
      <c r="V528" s="1"/>
      <c r="W528" s="1"/>
      <c r="X528" s="1"/>
      <c r="Y528" s="1"/>
      <c r="Z528" s="1"/>
      <c r="AA528" s="1"/>
      <c r="AB528" s="1"/>
      <c r="AC528" s="1"/>
      <c r="AD528" s="1"/>
      <c r="AE528" s="13"/>
    </row>
    <row r="529" spans="2:31" ht="16.5" hidden="1" customHeight="1">
      <c r="B529" s="173"/>
      <c r="C529" s="332"/>
      <c r="D529" s="524"/>
      <c r="E529" s="524"/>
      <c r="F529" s="524"/>
      <c r="G529" s="524"/>
      <c r="H529" s="524"/>
      <c r="I529" s="524"/>
      <c r="J529" s="524"/>
      <c r="K529" s="524"/>
      <c r="L529" s="524"/>
      <c r="M529" s="524"/>
      <c r="N529" s="524"/>
      <c r="O529" s="524"/>
      <c r="P529" s="331"/>
      <c r="Q529" s="331"/>
      <c r="T529" s="14"/>
      <c r="U529" s="1"/>
      <c r="V529" s="1"/>
      <c r="W529" s="1"/>
      <c r="X529" s="1"/>
      <c r="Y529" s="1"/>
      <c r="Z529" s="1"/>
      <c r="AA529" s="1"/>
      <c r="AB529" s="1"/>
      <c r="AC529" s="1"/>
      <c r="AD529" s="1"/>
      <c r="AE529" s="13"/>
    </row>
    <row r="530" spans="2:31" ht="16.5" hidden="1" customHeight="1" thickBot="1">
      <c r="B530" s="168"/>
      <c r="C530" s="332"/>
      <c r="D530" s="205"/>
      <c r="E530" s="331"/>
      <c r="F530" s="331"/>
      <c r="G530" s="331"/>
      <c r="H530" s="331"/>
      <c r="I530" s="331"/>
      <c r="J530" s="331"/>
      <c r="K530" s="331"/>
      <c r="L530" s="331"/>
      <c r="M530" s="331"/>
      <c r="N530" s="331"/>
      <c r="O530" s="331"/>
      <c r="P530" s="331"/>
      <c r="Q530" s="331"/>
      <c r="T530" s="14"/>
      <c r="U530" s="1"/>
      <c r="V530" s="1"/>
      <c r="W530" s="1"/>
      <c r="X530" s="1"/>
      <c r="Y530" s="1"/>
      <c r="Z530" s="1"/>
      <c r="AA530" s="1"/>
      <c r="AB530" s="1"/>
      <c r="AC530" s="1"/>
      <c r="AD530" s="1"/>
      <c r="AE530" s="13"/>
    </row>
    <row r="531" spans="2:31" ht="16.5" hidden="1" customHeight="1">
      <c r="B531" s="103"/>
      <c r="C531" s="180"/>
      <c r="D531" s="526" t="str">
        <f>IFERROR(IF(AB513="NON","Vous avez débuté votre activité après le 31 Janvier 2020, vous ne pouvez donc pas bénéficier de cette aide",IF(AB511=TRUE,IF(AB517*0.2&gt;Annexes!O8,"Dans votre cas, l'aide est plafonnée, à "&amp;Annexes!O8&amp;" € pour le mois de Juin","Dans votre cas, l'aide est plafonnée à 20 % du CA, soit "&amp;ROUND(AB517*0.2,0)&amp;" € pour le mois de Juin"),"Vous ne faites pas partie des entreprises en fermeture Administrative avec 20 % de perte de CA")),"Vous n'avez pas indiqué de chiffre d'affaires de référence")</f>
        <v>Vous ne faites pas partie des entreprises en fermeture Administrative avec 20 % de perte de CA</v>
      </c>
      <c r="E531" s="509"/>
      <c r="F531" s="509"/>
      <c r="G531" s="509"/>
      <c r="H531" s="509"/>
      <c r="I531" s="509"/>
      <c r="J531" s="509"/>
      <c r="K531" s="509"/>
      <c r="L531" s="509"/>
      <c r="M531" s="509"/>
      <c r="N531" s="509"/>
      <c r="O531" s="510"/>
      <c r="P531" s="331"/>
      <c r="Q531" s="331"/>
      <c r="T531" s="14"/>
      <c r="U531" s="1"/>
      <c r="V531" s="1"/>
      <c r="W531" s="1"/>
      <c r="X531" s="1"/>
      <c r="Y531" s="1"/>
      <c r="Z531" s="1"/>
      <c r="AA531" s="1"/>
      <c r="AB531" s="1"/>
      <c r="AC531" s="1"/>
      <c r="AD531" s="1"/>
      <c r="AE531" s="13"/>
    </row>
    <row r="532" spans="2:31" ht="16.5" hidden="1" customHeight="1">
      <c r="B532" s="103"/>
      <c r="C532" s="180"/>
      <c r="D532" s="511"/>
      <c r="E532" s="512"/>
      <c r="F532" s="512"/>
      <c r="G532" s="512"/>
      <c r="H532" s="512"/>
      <c r="I532" s="512"/>
      <c r="J532" s="512"/>
      <c r="K532" s="512"/>
      <c r="L532" s="512"/>
      <c r="M532" s="512"/>
      <c r="N532" s="512"/>
      <c r="O532" s="513"/>
      <c r="P532" s="331"/>
      <c r="Q532" s="331"/>
      <c r="T532" s="14"/>
      <c r="U532" s="1"/>
      <c r="V532" s="1"/>
      <c r="W532" s="1"/>
      <c r="X532" s="1"/>
      <c r="Y532" s="1"/>
      <c r="Z532" s="1"/>
      <c r="AA532" s="1"/>
      <c r="AB532" s="1"/>
      <c r="AC532" s="1"/>
      <c r="AD532" s="1"/>
      <c r="AE532" s="13"/>
    </row>
    <row r="533" spans="2:31" ht="16.5" hidden="1" customHeight="1">
      <c r="B533" s="103"/>
      <c r="C533" s="180"/>
      <c r="D533" s="511"/>
      <c r="E533" s="512"/>
      <c r="F533" s="512"/>
      <c r="G533" s="512"/>
      <c r="H533" s="512"/>
      <c r="I533" s="512"/>
      <c r="J533" s="512"/>
      <c r="K533" s="512"/>
      <c r="L533" s="512"/>
      <c r="M533" s="512"/>
      <c r="N533" s="512"/>
      <c r="O533" s="513"/>
      <c r="P533" s="175"/>
      <c r="Q533" s="175"/>
      <c r="T533" s="14"/>
      <c r="U533" s="1"/>
      <c r="V533" s="1"/>
      <c r="W533" s="1"/>
      <c r="X533" s="1"/>
      <c r="Y533" s="1"/>
      <c r="Z533" s="1"/>
      <c r="AA533" s="1"/>
      <c r="AB533" s="1"/>
      <c r="AC533" s="1"/>
      <c r="AD533" s="1"/>
      <c r="AE533" s="13"/>
    </row>
    <row r="534" spans="2:31" ht="16.5" hidden="1" customHeight="1" thickBot="1">
      <c r="B534" s="103"/>
      <c r="C534" s="180"/>
      <c r="D534" s="514"/>
      <c r="E534" s="515"/>
      <c r="F534" s="515"/>
      <c r="G534" s="515"/>
      <c r="H534" s="515"/>
      <c r="I534" s="515"/>
      <c r="J534" s="515"/>
      <c r="K534" s="515"/>
      <c r="L534" s="515"/>
      <c r="M534" s="515"/>
      <c r="N534" s="515"/>
      <c r="O534" s="516"/>
      <c r="T534" s="14"/>
      <c r="U534" s="1"/>
      <c r="V534" s="1"/>
      <c r="W534" s="1"/>
      <c r="X534" s="1"/>
      <c r="Y534" s="1"/>
      <c r="Z534" s="1"/>
      <c r="AA534" s="1"/>
      <c r="AB534" s="1"/>
      <c r="AC534" s="1"/>
      <c r="AD534" s="1"/>
      <c r="AE534" s="13"/>
    </row>
    <row r="535" spans="2:31" ht="16.5" hidden="1" customHeight="1">
      <c r="B535" s="5"/>
      <c r="C535" s="5"/>
      <c r="D535" s="354"/>
      <c r="E535" s="354"/>
      <c r="F535" s="354"/>
      <c r="G535" s="354"/>
      <c r="H535" s="354"/>
      <c r="I535" s="354"/>
      <c r="J535" s="354"/>
      <c r="K535" s="354"/>
      <c r="L535" s="354"/>
      <c r="M535" s="354"/>
      <c r="N535" s="354"/>
      <c r="O535" s="354"/>
      <c r="P535" s="177"/>
      <c r="Q535" s="177"/>
      <c r="T535" s="14"/>
      <c r="U535" s="1"/>
      <c r="V535" s="1"/>
      <c r="W535" s="1"/>
      <c r="X535" s="1"/>
      <c r="Y535" s="1"/>
      <c r="Z535" s="1"/>
      <c r="AA535" s="1"/>
      <c r="AB535" s="1"/>
      <c r="AC535" s="1"/>
      <c r="AD535" s="1"/>
      <c r="AE535" s="13"/>
    </row>
    <row r="536" spans="2:31" ht="16.5" thickBot="1">
      <c r="B536" s="220"/>
      <c r="C536" s="488" t="s">
        <v>482</v>
      </c>
      <c r="D536" s="488"/>
      <c r="E536" s="488"/>
      <c r="F536" s="488"/>
      <c r="G536" s="488"/>
      <c r="H536" s="488"/>
      <c r="I536" s="221"/>
      <c r="J536" s="221"/>
      <c r="K536" s="221"/>
      <c r="L536" s="221"/>
      <c r="M536" s="221"/>
      <c r="N536" s="221"/>
      <c r="O536" s="221"/>
      <c r="T536" s="16"/>
      <c r="U536" s="11"/>
      <c r="V536" s="11"/>
      <c r="W536" s="11"/>
      <c r="X536" s="11"/>
      <c r="Y536" s="11"/>
      <c r="Z536" s="11"/>
      <c r="AA536" s="11"/>
      <c r="AB536" s="11"/>
      <c r="AC536" s="11"/>
      <c r="AD536" s="11"/>
      <c r="AE536" s="12"/>
    </row>
    <row r="537" spans="2:31" ht="15" customHeight="1">
      <c r="B537" s="63"/>
      <c r="C537" s="24"/>
      <c r="D537" s="24"/>
      <c r="E537" s="24"/>
      <c r="F537" s="24"/>
      <c r="G537" s="24"/>
      <c r="H537" s="63"/>
      <c r="I537" s="1"/>
      <c r="J537" s="1"/>
      <c r="K537" s="1"/>
      <c r="L537" s="1"/>
      <c r="M537" s="1"/>
      <c r="N537" s="1"/>
      <c r="O537" s="1"/>
      <c r="T537" s="14"/>
      <c r="U537" s="1"/>
      <c r="V537" s="1"/>
      <c r="W537" s="1"/>
      <c r="X537" s="1"/>
      <c r="Y537" s="1"/>
      <c r="Z537" s="1"/>
      <c r="AA537" s="1"/>
      <c r="AB537" s="1"/>
      <c r="AC537" s="1"/>
      <c r="AD537" s="1"/>
      <c r="AE537" s="13"/>
    </row>
    <row r="538" spans="2:31" ht="15" customHeight="1">
      <c r="B538" s="103"/>
      <c r="C538" s="489" t="s">
        <v>483</v>
      </c>
      <c r="D538" s="489"/>
      <c r="E538" s="489"/>
      <c r="F538" s="489"/>
      <c r="G538" s="489"/>
      <c r="H538" s="489"/>
      <c r="I538" s="489"/>
      <c r="J538" s="489"/>
      <c r="K538" s="489"/>
      <c r="L538" s="489"/>
      <c r="M538" s="489"/>
      <c r="N538" s="489"/>
      <c r="O538" s="489"/>
      <c r="P538" s="1"/>
      <c r="T538" s="25"/>
      <c r="U538" s="490" t="s">
        <v>20</v>
      </c>
      <c r="V538" s="490"/>
      <c r="W538" s="490"/>
      <c r="X538" s="1"/>
      <c r="Y538" s="348" t="s">
        <v>6</v>
      </c>
      <c r="Z538" s="348"/>
      <c r="AA538" s="348"/>
      <c r="AB538" s="348" t="s">
        <v>23</v>
      </c>
      <c r="AC538" s="348"/>
      <c r="AD538" s="348"/>
      <c r="AE538" s="26" t="s">
        <v>24</v>
      </c>
    </row>
    <row r="539" spans="2:31" ht="15.75" customHeight="1">
      <c r="B539" s="103"/>
      <c r="C539" s="342"/>
      <c r="D539" s="60" t="s">
        <v>435</v>
      </c>
      <c r="E539" s="342"/>
      <c r="F539" s="342"/>
      <c r="G539" s="342"/>
      <c r="H539" s="342"/>
      <c r="I539" s="342"/>
      <c r="J539" s="342"/>
      <c r="K539" s="342"/>
      <c r="L539" s="342"/>
      <c r="M539" s="342"/>
      <c r="N539" s="342"/>
      <c r="O539" s="342"/>
      <c r="P539" s="1"/>
      <c r="T539" s="25"/>
      <c r="U539" s="348"/>
      <c r="V539" s="348"/>
      <c r="W539" s="348"/>
      <c r="X539" s="1"/>
      <c r="Y539" s="348"/>
      <c r="Z539" s="348"/>
      <c r="AA539" s="348"/>
      <c r="AB539" s="348"/>
      <c r="AC539" s="348"/>
      <c r="AD539" s="348"/>
      <c r="AE539" s="26"/>
    </row>
    <row r="540" spans="2:31" ht="16.5" thickBot="1">
      <c r="B540" s="103"/>
      <c r="C540" s="342"/>
      <c r="D540" s="60"/>
      <c r="E540" s="342"/>
      <c r="F540" s="342"/>
      <c r="G540" s="342"/>
      <c r="H540" s="342"/>
      <c r="I540" s="342"/>
      <c r="J540" s="342"/>
      <c r="K540" s="342"/>
      <c r="L540" s="342"/>
      <c r="M540" s="342"/>
      <c r="N540" s="342"/>
      <c r="O540" s="342"/>
      <c r="P540" s="1"/>
      <c r="T540" s="491" t="s">
        <v>484</v>
      </c>
      <c r="U540" s="490"/>
      <c r="V540" s="490"/>
      <c r="W540" s="490"/>
      <c r="X540" s="1"/>
      <c r="Y540" s="7">
        <f>'Mon Entreprise'!I134</f>
        <v>0</v>
      </c>
      <c r="Z540" s="133"/>
      <c r="AA540" s="21"/>
      <c r="AB540" s="7">
        <f>IF('Mon Entreprise'!I134-'Mon Entreprise'!M134&lt;0,0,'Mon Entreprise'!I134-'Mon Entreprise'!M134)</f>
        <v>0</v>
      </c>
      <c r="AC540" s="13"/>
      <c r="AD540" s="1"/>
      <c r="AE540" s="27">
        <f>IFERROR(1-'Mon Entreprise'!M134/'Mon Entreprise'!I134,0)</f>
        <v>0</v>
      </c>
    </row>
    <row r="541" spans="2:31" ht="15.75">
      <c r="B541" s="103"/>
      <c r="C541" s="342"/>
      <c r="D541" s="492" t="str">
        <f>IFERROR(IF(AND(AB583=0,AB584=0,AB585=0),"Vous ne pouvez pas bénéficier du fonds de solidarité pour le mois de Juillet 2021",IF(AND(AB585&gt;AB584,AB585&gt;AB583),"Votre entreprise peut bénéficier d'une aide de "&amp;AB585&amp;" €, au titre d'une fermeture Administrative avec une perte de 20 % de CA",IF(AB584&gt;AB583,"Votre entreprise peut bénéficier d'une aide de "&amp;AB584&amp;"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"&amp;AB583&amp;" €, au titre d'une fermeture administrative d'au moins 10 jours et d'une perte d'au-moins 50 % de votre CA en Juillet 2021"))),"Vous n'avez pas indiqué de chiffre d'affaires de référence")</f>
        <v>Vous ne pouvez pas bénéficier du fonds de solidarité pour le mois de Juillet 2021</v>
      </c>
      <c r="E541" s="493"/>
      <c r="F541" s="493"/>
      <c r="G541" s="493"/>
      <c r="H541" s="493"/>
      <c r="I541" s="493"/>
      <c r="J541" s="493"/>
      <c r="K541" s="493"/>
      <c r="L541" s="493"/>
      <c r="M541" s="493"/>
      <c r="N541" s="493"/>
      <c r="O541" s="494"/>
      <c r="P541" s="1"/>
      <c r="T541" s="491" t="s">
        <v>25</v>
      </c>
      <c r="U541" s="490"/>
      <c r="V541" s="490"/>
      <c r="W541" s="490"/>
      <c r="X541" s="1"/>
      <c r="Y541" s="7">
        <f>'Mon Entreprise'!I98</f>
        <v>0</v>
      </c>
      <c r="Z541" s="133"/>
      <c r="AA541" s="21"/>
      <c r="AB541" s="7">
        <f>IF('Mon Entreprise'!I98-'Mon Entreprise'!M134&lt;0,0,'Mon Entreprise'!I98-'Mon Entreprise'!M134)</f>
        <v>0</v>
      </c>
      <c r="AC541" s="36"/>
      <c r="AD541" s="1"/>
      <c r="AE541" s="27">
        <f>IFERROR(1-'Mon Entreprise'!M134/'Mon Entreprise'!I98,0)</f>
        <v>0</v>
      </c>
    </row>
    <row r="542" spans="2:31" ht="15.75" customHeight="1">
      <c r="B542" s="103"/>
      <c r="C542" s="342"/>
      <c r="D542" s="495"/>
      <c r="E542" s="496"/>
      <c r="F542" s="496"/>
      <c r="G542" s="496"/>
      <c r="H542" s="496"/>
      <c r="I542" s="496"/>
      <c r="J542" s="496"/>
      <c r="K542" s="496"/>
      <c r="L542" s="496"/>
      <c r="M542" s="496"/>
      <c r="N542" s="496"/>
      <c r="O542" s="497"/>
      <c r="P542" s="1"/>
      <c r="T542" s="501" t="s">
        <v>22</v>
      </c>
      <c r="U542" s="502"/>
      <c r="V542" s="502"/>
      <c r="W542" s="502"/>
      <c r="X542" s="139"/>
      <c r="Y542" s="140" t="str">
        <f>IF('Mon Entreprise'!I148="","NC",'Mon Entreprise'!I148)</f>
        <v>NC</v>
      </c>
      <c r="Z542" s="191"/>
      <c r="AA542" s="192"/>
      <c r="AB542" s="143" t="str">
        <f>IFERROR(IF('Mon Entreprise'!I148-'Mon Entreprise'!M134&lt;0,0,'Mon Entreprise'!I148-'Mon Entreprise'!M134),"NC")</f>
        <v>NC</v>
      </c>
      <c r="AC542" s="193"/>
      <c r="AD542" s="139"/>
      <c r="AE542" s="146" t="str">
        <f>IFERROR(1-'Mon Entreprise'!M134/'Mon Entreprise'!I148,"NC")</f>
        <v>NC</v>
      </c>
    </row>
    <row r="543" spans="2:31" ht="15.75" customHeight="1">
      <c r="B543" s="103"/>
      <c r="C543" s="342"/>
      <c r="D543" s="495"/>
      <c r="E543" s="496"/>
      <c r="F543" s="496"/>
      <c r="G543" s="496"/>
      <c r="H543" s="496"/>
      <c r="I543" s="496"/>
      <c r="J543" s="496"/>
      <c r="K543" s="496"/>
      <c r="L543" s="496"/>
      <c r="M543" s="496"/>
      <c r="N543" s="496"/>
      <c r="O543" s="497"/>
      <c r="P543" s="1"/>
      <c r="T543" s="345"/>
      <c r="U543" s="344"/>
      <c r="V543" s="344"/>
      <c r="W543" s="344"/>
      <c r="X543" s="139"/>
      <c r="Y543" s="140"/>
      <c r="Z543" s="141"/>
      <c r="AA543" s="192"/>
      <c r="AB543" s="143"/>
      <c r="AC543" s="344"/>
      <c r="AD543" s="139"/>
      <c r="AE543" s="146"/>
    </row>
    <row r="544" spans="2:31" ht="15.75" customHeight="1">
      <c r="B544" s="103"/>
      <c r="C544" s="342"/>
      <c r="D544" s="495"/>
      <c r="E544" s="496"/>
      <c r="F544" s="496"/>
      <c r="G544" s="496"/>
      <c r="H544" s="496"/>
      <c r="I544" s="496"/>
      <c r="J544" s="496"/>
      <c r="K544" s="496"/>
      <c r="L544" s="496"/>
      <c r="M544" s="496"/>
      <c r="N544" s="496"/>
      <c r="O544" s="497"/>
      <c r="P544" s="1"/>
      <c r="T544" s="14"/>
      <c r="U544" s="1"/>
      <c r="V544" s="1"/>
      <c r="W544" s="1"/>
      <c r="X544" s="1"/>
      <c r="Y544" s="1"/>
      <c r="Z544" s="1"/>
      <c r="AA544" s="1"/>
      <c r="AB544" s="1"/>
      <c r="AC544" s="1"/>
      <c r="AD544" s="1"/>
      <c r="AE544" s="13"/>
    </row>
    <row r="545" spans="2:31" ht="15.75" customHeight="1">
      <c r="B545" s="103"/>
      <c r="C545" s="342"/>
      <c r="D545" s="495"/>
      <c r="E545" s="496"/>
      <c r="F545" s="496"/>
      <c r="G545" s="496"/>
      <c r="H545" s="496"/>
      <c r="I545" s="496"/>
      <c r="J545" s="496"/>
      <c r="K545" s="496"/>
      <c r="L545" s="496"/>
      <c r="M545" s="496"/>
      <c r="N545" s="496"/>
      <c r="O545" s="497"/>
      <c r="P545" s="1"/>
      <c r="T545" s="14"/>
      <c r="AC545" s="1"/>
      <c r="AD545" s="1"/>
      <c r="AE545" s="13"/>
    </row>
    <row r="546" spans="2:31" ht="15.75" customHeight="1" thickBot="1">
      <c r="B546" s="103"/>
      <c r="C546" s="342"/>
      <c r="D546" s="498"/>
      <c r="E546" s="499"/>
      <c r="F546" s="499"/>
      <c r="G546" s="499"/>
      <c r="H546" s="499"/>
      <c r="I546" s="499"/>
      <c r="J546" s="499"/>
      <c r="K546" s="499"/>
      <c r="L546" s="499"/>
      <c r="M546" s="499"/>
      <c r="N546" s="499"/>
      <c r="O546" s="500"/>
      <c r="P546" s="1"/>
      <c r="T546" s="14"/>
      <c r="AC546" s="1"/>
      <c r="AD546" s="1"/>
      <c r="AE546" s="13"/>
    </row>
    <row r="547" spans="2:31" ht="16.5" customHeight="1">
      <c r="B547" s="103"/>
      <c r="C547" s="342"/>
      <c r="D547" s="503" t="s">
        <v>493</v>
      </c>
      <c r="E547" s="503"/>
      <c r="F547" s="503"/>
      <c r="G547" s="503"/>
      <c r="H547" s="503"/>
      <c r="I547" s="503"/>
      <c r="J547" s="503"/>
      <c r="K547" s="503"/>
      <c r="L547" s="503"/>
      <c r="M547" s="503"/>
      <c r="N547" s="503"/>
      <c r="O547" s="503"/>
      <c r="P547" s="1"/>
      <c r="T547" s="14"/>
      <c r="AC547" s="1"/>
      <c r="AD547" s="1"/>
      <c r="AE547" s="13"/>
    </row>
    <row r="548" spans="2:31" ht="16.5" customHeight="1">
      <c r="B548" s="103"/>
      <c r="C548" s="351"/>
      <c r="D548" s="504"/>
      <c r="E548" s="504"/>
      <c r="F548" s="504"/>
      <c r="G548" s="504"/>
      <c r="H548" s="504"/>
      <c r="I548" s="504"/>
      <c r="J548" s="504"/>
      <c r="K548" s="504"/>
      <c r="L548" s="504"/>
      <c r="M548" s="504"/>
      <c r="N548" s="504"/>
      <c r="O548" s="504"/>
      <c r="P548" s="1"/>
      <c r="T548" s="14"/>
      <c r="AC548" s="1"/>
      <c r="AD548" s="1"/>
      <c r="AE548" s="13"/>
    </row>
    <row r="549" spans="2:31" ht="15.75" hidden="1">
      <c r="B549" s="103"/>
      <c r="C549" s="78"/>
      <c r="D549" s="78"/>
      <c r="E549" s="78"/>
      <c r="F549" s="78"/>
      <c r="G549" s="78"/>
      <c r="H549" s="78"/>
      <c r="I549" s="78"/>
      <c r="J549" s="78"/>
      <c r="K549" s="78"/>
      <c r="L549" s="78"/>
      <c r="M549" s="78"/>
      <c r="N549" s="78"/>
      <c r="O549" s="78"/>
      <c r="P549" s="1"/>
      <c r="T549" s="14"/>
      <c r="U549" s="1"/>
      <c r="V549" s="1"/>
      <c r="W549" s="1"/>
      <c r="X549" s="1"/>
      <c r="Y549" s="1"/>
      <c r="Z549" s="1"/>
      <c r="AA549" s="1"/>
      <c r="AB549" s="1"/>
      <c r="AC549" s="1"/>
      <c r="AD549" s="1"/>
      <c r="AE549" s="13"/>
    </row>
    <row r="550" spans="2:31" ht="15.75" hidden="1">
      <c r="B550" s="103"/>
      <c r="C550" s="342"/>
      <c r="D550" s="60"/>
      <c r="E550" s="342"/>
      <c r="F550" s="342"/>
      <c r="G550" s="342"/>
      <c r="H550" s="342"/>
      <c r="I550" s="342"/>
      <c r="J550" s="342"/>
      <c r="K550" s="342"/>
      <c r="L550" s="342"/>
      <c r="M550" s="342"/>
      <c r="N550" s="342"/>
      <c r="O550" s="342"/>
      <c r="P550" s="1"/>
      <c r="T550" s="14"/>
      <c r="U550" s="1"/>
      <c r="V550" s="1"/>
      <c r="W550" s="1"/>
      <c r="X550" s="1"/>
      <c r="Y550" s="1"/>
      <c r="Z550" s="1"/>
      <c r="AA550" s="1"/>
      <c r="AB550" s="1"/>
      <c r="AC550" s="1"/>
      <c r="AD550" s="1"/>
      <c r="AE550" s="13"/>
    </row>
    <row r="551" spans="2:31" ht="15.75" hidden="1">
      <c r="B551" s="103"/>
      <c r="C551" s="505" t="s">
        <v>492</v>
      </c>
      <c r="D551" s="505"/>
      <c r="E551" s="505"/>
      <c r="F551" s="505"/>
      <c r="G551" s="505"/>
      <c r="H551" s="505"/>
      <c r="I551" s="505"/>
      <c r="J551" s="505"/>
      <c r="K551" s="505"/>
      <c r="L551" s="505"/>
      <c r="M551" s="505"/>
      <c r="N551" s="505"/>
      <c r="O551" s="505"/>
      <c r="P551" s="1"/>
      <c r="T551" s="14"/>
      <c r="U551" s="1"/>
      <c r="V551" s="1"/>
      <c r="W551" s="1"/>
      <c r="X551" s="1"/>
      <c r="Y551" s="1"/>
      <c r="Z551" s="1"/>
      <c r="AA551" s="1"/>
      <c r="AB551" s="1"/>
      <c r="AC551" s="1"/>
      <c r="AD551" s="1"/>
      <c r="AE551" s="13"/>
    </row>
    <row r="552" spans="2:31" ht="15.75" hidden="1">
      <c r="B552" s="103"/>
      <c r="C552" s="505"/>
      <c r="D552" s="505"/>
      <c r="E552" s="505"/>
      <c r="F552" s="505"/>
      <c r="G552" s="505"/>
      <c r="H552" s="505"/>
      <c r="I552" s="505"/>
      <c r="J552" s="505"/>
      <c r="K552" s="505"/>
      <c r="L552" s="505"/>
      <c r="M552" s="505"/>
      <c r="N552" s="505"/>
      <c r="O552" s="505"/>
      <c r="P552" s="1"/>
      <c r="T552" s="14"/>
      <c r="U552" s="506" t="s">
        <v>72</v>
      </c>
      <c r="V552" s="506"/>
      <c r="W552" s="506"/>
      <c r="X552" s="506"/>
      <c r="Y552" s="506"/>
      <c r="Z552" s="1"/>
      <c r="AA552" s="14"/>
      <c r="AB552" s="344" t="str">
        <f>IF('Mon Entreprise'!K8&lt;=Annexes!R15,"Oui","Non")</f>
        <v>Oui</v>
      </c>
      <c r="AC552" s="1"/>
      <c r="AD552" s="1"/>
      <c r="AE552" s="13"/>
    </row>
    <row r="553" spans="2:31" ht="15.75" hidden="1">
      <c r="B553" s="168"/>
      <c r="C553" s="342"/>
      <c r="D553" s="60" t="str">
        <f>IFERROR(IF('Mon Entreprise'!K8&gt;=Annexes!O20,IF(AB540&gt;=AB542,"Le CA de référence est celui de Juillet 2019, soit une perte de "&amp;ROUND(AB540,0)&amp;" €"&amp;" ==&gt; "&amp;ROUND(AE540*100,0)&amp;" %","Le CA de référence est celui de la création, soit une perte de "&amp;ROUND(AB542,0)&amp;" €"&amp;" ==&gt; "&amp;ROUND(AE542*100,0)&amp;" %"),IF(AB540&gt;=AB541,"Le CA de référence est celui de Juillet 2019, soit une perte de "&amp;ROUND(AB540,0)&amp;" €"&amp;" ==&gt; "&amp;ROUND(AE540*100,0)&amp;" %","Le CA de référence est celui de l'exercice 2019, soit une perte de "&amp;ROUND(AB541,0)&amp;" €"&amp;" ==&gt; "&amp;ROUND(AE541*100,0)&amp;" %")),"")</f>
        <v>Le CA de référence est celui de Juillet 2019, soit une perte de 0 € ==&gt; 0 %</v>
      </c>
      <c r="E553" s="342"/>
      <c r="F553" s="342"/>
      <c r="G553" s="342"/>
      <c r="H553" s="342"/>
      <c r="I553" s="342"/>
      <c r="J553" s="342"/>
      <c r="K553" s="342"/>
      <c r="L553" s="342"/>
      <c r="M553" s="342"/>
      <c r="N553" s="342"/>
      <c r="O553" s="342"/>
      <c r="P553" s="1"/>
      <c r="T553" s="14"/>
      <c r="U553" s="341"/>
      <c r="V553" s="506" t="s">
        <v>393</v>
      </c>
      <c r="W553" s="506"/>
      <c r="X553" s="506"/>
      <c r="Y553" s="506"/>
      <c r="Z553" s="1"/>
      <c r="AA553" s="14"/>
      <c r="AB553" s="344">
        <f>IF('Mon Entreprise'!K8&gt;=Annexes!O20,IF(Y540&gt;=Y542,Y540,Y542),IF(Y540&gt;=Y541,Y540,Y541))</f>
        <v>0</v>
      </c>
      <c r="AC553" s="1"/>
      <c r="AD553" s="1"/>
      <c r="AE553" s="13"/>
    </row>
    <row r="554" spans="2:31" ht="15.75" hidden="1" customHeight="1">
      <c r="B554" s="168"/>
      <c r="C554" s="342"/>
      <c r="D554" s="507" t="str">
        <f>IFERROR(IF('Mon Entreprise'!K8&gt;=Annexes!O20,"",IF(AB540&lt;AB541,"A noter qu'il convient de choisir l'option retenue par l'entreprise lors de sa demande au titre du mois Février 2021, ou a défaut celui du mois de Mars, d'Avril, Mai, ou Juin 2021, si le CA de référence était celui de février 2019 (...),"&amp;" il convient de prendre"&amp;" celui de Juillet 2019, soit "&amp;ROUND(AB540,0)&amp;" €"&amp;" ==&gt; "&amp;ROUND(AE540*100,0)&amp;" %","A noter qu'il convient de choisir l'option retenue par l'entreprise lors de sa demande au titre du mois Février 2021, ou "&amp;"a défaut celui du mois de Mars, d'Avril, Mai, ou Juin 2021, si"&amp;" le CA de référence était celui de l'exercice 2019, il convient de prendre celui de l'exercie 2019, soit une perte de "&amp;ROUND(AB541,0)&amp;" €"&amp;" ==&gt; "&amp;ROUND(AE541*100,0)&amp;" %")),"")</f>
        <v>A noter qu'il convient de choisir l'option retenue par l'entreprise lors de sa demande au titre du mois Février 2021, ou a défaut celui du mois de Mars, d'Avril, Mai, ou Juin 2021, si le CA de référence était celui de l'exercice 2019, il convient de prendre celui de l'exercie 2019, soit une perte de 0 € ==&gt; 0 %</v>
      </c>
      <c r="E554" s="507"/>
      <c r="F554" s="507"/>
      <c r="G554" s="507"/>
      <c r="H554" s="507"/>
      <c r="I554" s="507"/>
      <c r="J554" s="507"/>
      <c r="K554" s="507"/>
      <c r="L554" s="507"/>
      <c r="M554" s="507"/>
      <c r="N554" s="507"/>
      <c r="O554" s="507"/>
      <c r="P554" s="1"/>
      <c r="T554" s="14"/>
      <c r="U554" s="506" t="s">
        <v>84</v>
      </c>
      <c r="V554" s="506"/>
      <c r="W554" s="506"/>
      <c r="X554" s="506"/>
      <c r="Y554" s="506"/>
      <c r="Z554" s="1"/>
      <c r="AA554" s="14"/>
      <c r="AB554" s="343">
        <f>IF('Mon Entreprise'!K8&gt;=Annexes!O20,IF(AB540&gt;=AB542,AB540,AB542),IF(AB540&gt;=AB541,AB540,AB541))</f>
        <v>0</v>
      </c>
      <c r="AC554" s="1"/>
      <c r="AD554" s="1"/>
      <c r="AE554" s="13"/>
    </row>
    <row r="555" spans="2:31" ht="15.75" hidden="1">
      <c r="B555" s="168"/>
      <c r="C555" s="342"/>
      <c r="D555" s="507"/>
      <c r="E555" s="507"/>
      <c r="F555" s="507"/>
      <c r="G555" s="507"/>
      <c r="H555" s="507"/>
      <c r="I555" s="507"/>
      <c r="J555" s="507"/>
      <c r="K555" s="507"/>
      <c r="L555" s="507"/>
      <c r="M555" s="507"/>
      <c r="N555" s="507"/>
      <c r="O555" s="507"/>
      <c r="P555" s="1"/>
      <c r="T555" s="14"/>
      <c r="U555" s="506" t="s">
        <v>85</v>
      </c>
      <c r="V555" s="506"/>
      <c r="W555" s="506"/>
      <c r="X555" s="506"/>
      <c r="Y555" s="506"/>
      <c r="Z555" s="1"/>
      <c r="AA555" s="14"/>
      <c r="AB555" s="19">
        <f>IF('Mon Entreprise'!K8&gt;=Annexes!O20,IF(AB540&gt;=AB542,AE540,AE542),IF(AB540&gt;=AB541,AE540,AE541))</f>
        <v>0</v>
      </c>
      <c r="AC555" s="1"/>
      <c r="AD555" s="1"/>
      <c r="AE555" s="13"/>
    </row>
    <row r="556" spans="2:31" ht="15.75" hidden="1">
      <c r="B556" s="168"/>
      <c r="C556" s="351"/>
      <c r="D556" s="507"/>
      <c r="E556" s="507"/>
      <c r="F556" s="507"/>
      <c r="G556" s="507"/>
      <c r="H556" s="507"/>
      <c r="I556" s="507"/>
      <c r="J556" s="507"/>
      <c r="K556" s="507"/>
      <c r="L556" s="507"/>
      <c r="M556" s="507"/>
      <c r="N556" s="507"/>
      <c r="O556" s="507"/>
      <c r="P556" s="1"/>
      <c r="T556" s="14"/>
      <c r="U556" s="350"/>
      <c r="V556" s="350"/>
      <c r="W556" s="350"/>
      <c r="X556" s="350"/>
      <c r="Y556" s="350"/>
      <c r="Z556" s="1"/>
      <c r="AA556" s="1"/>
      <c r="AB556" s="19"/>
      <c r="AC556" s="1"/>
      <c r="AD556" s="1"/>
      <c r="AE556" s="13"/>
    </row>
    <row r="557" spans="2:31" ht="16.5" hidden="1" thickBot="1">
      <c r="B557" s="103"/>
      <c r="C557" s="342"/>
      <c r="D557" s="60" t="s">
        <v>7</v>
      </c>
      <c r="E557" s="342"/>
      <c r="F557" s="342"/>
      <c r="G557" s="342"/>
      <c r="H557" s="342"/>
      <c r="I557" s="342"/>
      <c r="J557" s="342"/>
      <c r="K557" s="342"/>
      <c r="L557" s="342"/>
      <c r="M557" s="342"/>
      <c r="N557" s="342"/>
      <c r="O557" s="342"/>
      <c r="P557" s="1"/>
      <c r="T557" s="14"/>
      <c r="U557" s="1"/>
      <c r="V557" s="1"/>
      <c r="W557" s="1"/>
      <c r="X557" s="1"/>
      <c r="Y557" s="1"/>
      <c r="Z557" s="1"/>
      <c r="AA557" s="1"/>
      <c r="AB557" s="1"/>
      <c r="AC557" s="1"/>
      <c r="AD557" s="1"/>
      <c r="AE557" s="13"/>
    </row>
    <row r="558" spans="2:31" ht="15.75" hidden="1">
      <c r="B558" s="168"/>
      <c r="C558" s="342"/>
      <c r="D558" s="508" t="str">
        <f>IFERROR(IF(AB552="Non","Vous avez débuté votre activité après le 31 Janvier 2020, vous ne pouvez donc pas bénéficier de cette aide",IF(AND(AB571=TRUE,AB555&gt;=0.5),IF(AB554&gt;Annexes!O5,"Dans votre cas, l'aide est Plafonnée, à "&amp;Annexes!O5&amp;" € pour le mois de Juillet","Vous pouvez bénéficier, au titre de cette aide, d'un montant de "&amp;ROUND(AB554,0)&amp;" € pour le mois de Juillet"),"L'entreprise n'a pas une perte d'au moins 50 % en Juillet 2021 ou n'a pas été en fermeture Administrative au moins 10 Jours")),"Vous n'avez pas indiqué de chiffre d'affaires de référence")</f>
        <v>L'entreprise n'a pas une perte d'au moins 50 % en Juillet 2021 ou n'a pas été en fermeture Administrative au moins 10 Jours</v>
      </c>
      <c r="E558" s="509"/>
      <c r="F558" s="509"/>
      <c r="G558" s="509"/>
      <c r="H558" s="509"/>
      <c r="I558" s="509"/>
      <c r="J558" s="509"/>
      <c r="K558" s="509"/>
      <c r="L558" s="509"/>
      <c r="M558" s="509"/>
      <c r="N558" s="509"/>
      <c r="O558" s="510"/>
      <c r="P558" s="1"/>
      <c r="T558" s="14"/>
      <c r="U558" s="1"/>
      <c r="V558" s="1"/>
      <c r="W558" s="1"/>
      <c r="X558" s="1"/>
      <c r="Y558" s="1"/>
      <c r="Z558" s="1"/>
      <c r="AA558" s="1"/>
      <c r="AB558" s="1"/>
      <c r="AC558" s="1"/>
      <c r="AD558" s="1"/>
      <c r="AE558" s="13"/>
    </row>
    <row r="559" spans="2:31" ht="15.75" hidden="1" customHeight="1">
      <c r="B559" s="168"/>
      <c r="C559" s="342"/>
      <c r="D559" s="511"/>
      <c r="E559" s="512"/>
      <c r="F559" s="512"/>
      <c r="G559" s="512"/>
      <c r="H559" s="512"/>
      <c r="I559" s="512"/>
      <c r="J559" s="512"/>
      <c r="K559" s="512"/>
      <c r="L559" s="512"/>
      <c r="M559" s="512"/>
      <c r="N559" s="512"/>
      <c r="O559" s="513"/>
      <c r="P559" s="1"/>
      <c r="T559" s="14"/>
      <c r="U559" s="1"/>
      <c r="V559" s="1"/>
      <c r="W559" s="1"/>
      <c r="X559" s="1"/>
      <c r="Y559" s="1"/>
      <c r="Z559" s="1"/>
      <c r="AA559" s="1"/>
      <c r="AB559" s="1"/>
      <c r="AC559" s="1"/>
      <c r="AD559" s="1"/>
      <c r="AE559" s="13"/>
    </row>
    <row r="560" spans="2:31" ht="15.75" hidden="1" customHeight="1">
      <c r="B560" s="103"/>
      <c r="C560" s="342"/>
      <c r="D560" s="511"/>
      <c r="E560" s="512"/>
      <c r="F560" s="512"/>
      <c r="G560" s="512"/>
      <c r="H560" s="512"/>
      <c r="I560" s="512"/>
      <c r="J560" s="512"/>
      <c r="K560" s="512"/>
      <c r="L560" s="512"/>
      <c r="M560" s="512"/>
      <c r="N560" s="512"/>
      <c r="O560" s="513"/>
      <c r="P560" s="1"/>
      <c r="T560" s="14"/>
      <c r="U560" s="1"/>
      <c r="V560" s="1"/>
      <c r="W560" s="1"/>
      <c r="X560" s="1"/>
      <c r="Y560" s="1"/>
      <c r="Z560" s="1"/>
      <c r="AA560" s="1"/>
      <c r="AB560" s="1"/>
      <c r="AC560" s="1"/>
      <c r="AD560" s="1"/>
      <c r="AE560" s="13"/>
    </row>
    <row r="561" spans="1:31" ht="15.75" hidden="1" customHeight="1" thickBot="1">
      <c r="B561" s="103"/>
      <c r="C561" s="342"/>
      <c r="D561" s="514"/>
      <c r="E561" s="515"/>
      <c r="F561" s="515"/>
      <c r="G561" s="515"/>
      <c r="H561" s="515"/>
      <c r="I561" s="515"/>
      <c r="J561" s="515"/>
      <c r="K561" s="515"/>
      <c r="L561" s="515"/>
      <c r="M561" s="515"/>
      <c r="N561" s="515"/>
      <c r="O561" s="516"/>
      <c r="P561" s="1"/>
      <c r="T561" s="14"/>
      <c r="U561" s="1"/>
      <c r="V561" s="1"/>
      <c r="W561" s="1"/>
      <c r="X561" s="1"/>
      <c r="Y561" s="1"/>
      <c r="Z561" s="1"/>
      <c r="AA561" s="1"/>
      <c r="AB561" s="1"/>
      <c r="AC561" s="1"/>
      <c r="AD561" s="1"/>
      <c r="AE561" s="13"/>
    </row>
    <row r="562" spans="1:31" ht="16.5" hidden="1" customHeight="1">
      <c r="B562" s="103"/>
      <c r="C562" s="169"/>
      <c r="D562" s="517"/>
      <c r="E562" s="517"/>
      <c r="F562" s="517"/>
      <c r="G562" s="517"/>
      <c r="H562" s="517"/>
      <c r="I562" s="517"/>
      <c r="J562" s="517"/>
      <c r="K562" s="517"/>
      <c r="L562" s="517"/>
      <c r="M562" s="517"/>
      <c r="N562" s="517"/>
      <c r="O562" s="517"/>
      <c r="P562" s="1"/>
      <c r="T562" s="518" t="s">
        <v>4</v>
      </c>
      <c r="U562" s="519"/>
      <c r="V562" s="519"/>
      <c r="W562" s="519"/>
      <c r="X562" s="519"/>
      <c r="Y562" s="519"/>
      <c r="Z562" s="139"/>
      <c r="AA562" s="145"/>
      <c r="AB562" s="194">
        <f>IFERROR(IF('Mon Entreprise'!K8&gt;=Annexes!Q18,0,1-'Mon Entreprise'!M118/2/AB553),0)</f>
        <v>0</v>
      </c>
      <c r="AC562" s="1"/>
      <c r="AD562" s="1"/>
      <c r="AE562" s="13"/>
    </row>
    <row r="563" spans="1:31" ht="16.5" hidden="1" customHeight="1">
      <c r="B563" s="103"/>
      <c r="C563" s="342"/>
      <c r="D563" s="306"/>
      <c r="E563" s="306"/>
      <c r="F563" s="306"/>
      <c r="G563" s="306"/>
      <c r="H563" s="306"/>
      <c r="I563" s="306"/>
      <c r="J563" s="306"/>
      <c r="K563" s="306"/>
      <c r="L563" s="306"/>
      <c r="M563" s="306"/>
      <c r="N563" s="306"/>
      <c r="O563" s="306"/>
      <c r="P563" s="1"/>
      <c r="T563" s="110"/>
      <c r="U563" s="520" t="s">
        <v>102</v>
      </c>
      <c r="V563" s="520"/>
      <c r="W563" s="520"/>
      <c r="X563" s="520"/>
      <c r="Y563" s="520"/>
      <c r="Z563" s="139"/>
      <c r="AA563" s="145"/>
      <c r="AB563" s="194">
        <f>IFERROR(IF('Mon Entreprise'!K8&gt;Annexes!Q29,0,IF('Mon Entreprise'!K8&gt;Annexes!Q26,1,1-'Mon Entreprise'!M114/AB553)),0)</f>
        <v>0</v>
      </c>
      <c r="AC563" s="1"/>
      <c r="AD563" s="1"/>
      <c r="AE563" s="13"/>
    </row>
    <row r="564" spans="1:31" ht="16.5" hidden="1" customHeight="1">
      <c r="B564" s="103"/>
      <c r="C564" s="505" t="s">
        <v>514</v>
      </c>
      <c r="D564" s="505"/>
      <c r="E564" s="505"/>
      <c r="F564" s="505"/>
      <c r="G564" s="505"/>
      <c r="H564" s="505"/>
      <c r="I564" s="505"/>
      <c r="J564" s="505"/>
      <c r="K564" s="505"/>
      <c r="L564" s="505"/>
      <c r="M564" s="505"/>
      <c r="N564" s="505"/>
      <c r="O564" s="505"/>
      <c r="P564" s="1"/>
      <c r="T564" s="110"/>
      <c r="U564" s="520" t="s">
        <v>109</v>
      </c>
      <c r="V564" s="520"/>
      <c r="W564" s="520"/>
      <c r="X564" s="520"/>
      <c r="Y564" s="520"/>
      <c r="Z564" s="139"/>
      <c r="AA564" s="145"/>
      <c r="AB564" s="194">
        <f>IFERROR(IF(Annexes!O27&gt;'Mon Entreprise'!K8,1-'Mon Entreprise'!M98/'Mon Entreprise'!I98,0),0)</f>
        <v>0</v>
      </c>
      <c r="AC564" s="1"/>
      <c r="AD564" s="1"/>
      <c r="AE564" s="13"/>
    </row>
    <row r="565" spans="1:31" ht="16.5" hidden="1" customHeight="1">
      <c r="B565" s="103"/>
      <c r="C565" s="505"/>
      <c r="D565" s="505"/>
      <c r="E565" s="505"/>
      <c r="F565" s="505"/>
      <c r="G565" s="505"/>
      <c r="H565" s="505"/>
      <c r="I565" s="505"/>
      <c r="J565" s="505"/>
      <c r="K565" s="505"/>
      <c r="L565" s="505"/>
      <c r="M565" s="505"/>
      <c r="N565" s="505"/>
      <c r="O565" s="505"/>
      <c r="P565" s="1"/>
      <c r="T565" s="110"/>
      <c r="U565" s="346"/>
      <c r="V565" s="346"/>
      <c r="W565" s="346"/>
      <c r="X565" s="346"/>
      <c r="Y565" s="346"/>
      <c r="Z565" s="139"/>
      <c r="AA565" s="145"/>
      <c r="AB565" s="194"/>
      <c r="AC565" s="1"/>
      <c r="AD565" s="1"/>
      <c r="AE565" s="13"/>
    </row>
    <row r="566" spans="1:31" ht="16.5" hidden="1" customHeight="1">
      <c r="B566" s="103"/>
      <c r="C566" s="505"/>
      <c r="D566" s="505"/>
      <c r="E566" s="505"/>
      <c r="F566" s="505"/>
      <c r="G566" s="505"/>
      <c r="H566" s="505"/>
      <c r="I566" s="505"/>
      <c r="J566" s="505"/>
      <c r="K566" s="505"/>
      <c r="L566" s="505"/>
      <c r="M566" s="505"/>
      <c r="N566" s="505"/>
      <c r="O566" s="505"/>
      <c r="P566" s="1"/>
      <c r="T566" s="110"/>
      <c r="U566" s="368"/>
      <c r="V566" s="368"/>
      <c r="W566" s="368"/>
      <c r="X566" s="368"/>
      <c r="Y566" s="368"/>
      <c r="Z566" s="139"/>
      <c r="AA566" s="145"/>
      <c r="AB566" s="194"/>
      <c r="AC566" s="1"/>
      <c r="AD566" s="1"/>
      <c r="AE566" s="13"/>
    </row>
    <row r="567" spans="1:31" ht="16.5" hidden="1" customHeight="1">
      <c r="B567" s="103"/>
      <c r="C567" s="505"/>
      <c r="D567" s="505"/>
      <c r="E567" s="505"/>
      <c r="F567" s="505"/>
      <c r="G567" s="505"/>
      <c r="H567" s="505"/>
      <c r="I567" s="505"/>
      <c r="J567" s="505"/>
      <c r="K567" s="505"/>
      <c r="L567" s="505"/>
      <c r="M567" s="505"/>
      <c r="N567" s="505"/>
      <c r="O567" s="505"/>
      <c r="P567" s="1"/>
      <c r="T567" s="14"/>
      <c r="U567" s="521" t="s">
        <v>8</v>
      </c>
      <c r="V567" s="521"/>
      <c r="W567" s="521"/>
      <c r="X567" s="521"/>
      <c r="Y567" s="521"/>
      <c r="Z567" s="1"/>
      <c r="AA567" s="14"/>
      <c r="AB567" s="343" t="str">
        <f>IF((AND(Annexes!F5&gt;1,Annexes!F5&lt;=Annexes!H6,AB574&gt;=0.1)),"OUI","NON")</f>
        <v>NON</v>
      </c>
      <c r="AC567" s="1"/>
      <c r="AD567" s="1"/>
      <c r="AE567" s="13"/>
    </row>
    <row r="568" spans="1:31" ht="27" hidden="1" customHeight="1">
      <c r="B568" s="103"/>
      <c r="C568" s="352"/>
      <c r="D568" s="564" t="s">
        <v>513</v>
      </c>
      <c r="E568" s="564"/>
      <c r="F568" s="564"/>
      <c r="G568" s="564"/>
      <c r="H568" s="564"/>
      <c r="I568" s="564"/>
      <c r="J568" s="564"/>
      <c r="K568" s="564"/>
      <c r="L568" s="564"/>
      <c r="M568" s="564"/>
      <c r="N568" s="564"/>
      <c r="O568" s="564"/>
      <c r="P568" s="1"/>
      <c r="T568" s="14"/>
      <c r="U568" s="347"/>
      <c r="V568" s="347"/>
      <c r="W568" s="347"/>
      <c r="X568" s="347"/>
      <c r="Y568" s="347" t="s">
        <v>9</v>
      </c>
      <c r="Z568" s="1"/>
      <c r="AA568" s="14"/>
      <c r="AB568" s="343" t="str">
        <f>IF(AND(Annexes!F7&gt;1,Annexes!F7&lt;=Annexes!H8,AB574&gt;=0.1),"OUI","NON")</f>
        <v>NON</v>
      </c>
      <c r="AC568" s="1"/>
      <c r="AD568" s="1"/>
      <c r="AE568" s="13"/>
    </row>
    <row r="569" spans="1:31" ht="16.5" hidden="1" customHeight="1">
      <c r="B569" s="103"/>
      <c r="C569" s="342"/>
      <c r="D569" s="306"/>
      <c r="E569" s="522" t="str">
        <f>IF(AB572="NON","",IF(OR(AB567="OUI",AB569="OUI",AND(AB568="OUI",OR(AB562&gt;=Annexes!P5,AB563&gt;=Annexes!P5,'Mes Aides'!AB145&gt;=0.1))),"",IF(AND(AB568="OUI",OR(AB562&lt;Annexes!P5,AB563&lt;Annexes!P5,'Mes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569" s="522"/>
      <c r="G569" s="522"/>
      <c r="H569" s="522"/>
      <c r="I569" s="522"/>
      <c r="J569" s="522"/>
      <c r="K569" s="522"/>
      <c r="L569" s="522"/>
      <c r="M569" s="522"/>
      <c r="N569" s="522"/>
      <c r="O569" s="522"/>
      <c r="P569" s="1"/>
      <c r="T569" s="491" t="s">
        <v>474</v>
      </c>
      <c r="U569" s="490"/>
      <c r="V569" s="490"/>
      <c r="W569" s="490"/>
      <c r="X569" s="490"/>
      <c r="Y569" s="490"/>
      <c r="Z569" s="1"/>
      <c r="AA569" s="14"/>
      <c r="AB569" s="343" t="str">
        <f>IF(AND(Annexes!M24=TRUE,AB574&gt;=0.1),"OUI","NON")</f>
        <v>NON</v>
      </c>
      <c r="AC569" s="1"/>
      <c r="AD569" s="1"/>
      <c r="AE569" s="13"/>
    </row>
    <row r="570" spans="1:31" ht="16.5" hidden="1" customHeight="1">
      <c r="B570" s="103"/>
      <c r="C570" s="342"/>
      <c r="D570" s="306"/>
      <c r="E570" s="522"/>
      <c r="F570" s="522"/>
      <c r="G570" s="522"/>
      <c r="H570" s="522"/>
      <c r="I570" s="522"/>
      <c r="J570" s="522"/>
      <c r="K570" s="522"/>
      <c r="L570" s="522"/>
      <c r="M570" s="522"/>
      <c r="N570" s="522"/>
      <c r="O570" s="522"/>
      <c r="P570" s="1"/>
      <c r="T570" s="14"/>
      <c r="U570" s="490" t="s">
        <v>313</v>
      </c>
      <c r="V570" s="490"/>
      <c r="W570" s="490"/>
      <c r="X570" s="490"/>
      <c r="Y570" s="490"/>
      <c r="Z570" s="1"/>
      <c r="AA570" s="14"/>
      <c r="AB570" s="343" t="b">
        <f>IF(AND(Annexes!M38=TRUE,AB574&gt;=0.2),TRUE,FALSE)</f>
        <v>0</v>
      </c>
      <c r="AC570" s="1"/>
      <c r="AD570" s="1"/>
      <c r="AE570" s="13"/>
    </row>
    <row r="571" spans="1:31" ht="16.5" hidden="1" customHeight="1">
      <c r="A571" s="99"/>
      <c r="B571" s="103"/>
      <c r="C571" s="342"/>
      <c r="D571" s="523" t="str">
        <f>IFERROR(IF('Mon Entreprise'!K8&gt;=Annexes!O20,IF(AB540&gt;=AB542,"- Le CA de référence est celui de Juillet 2019, soit une perte de "&amp;ROUND(AB540,0)&amp;" €"&amp;" ==&gt; "&amp;ROUND(AE540*100,0)&amp;" %","- Le CA de référence est celui de la création, soit une perte de "&amp;ROUND(AB542,0)&amp;" €"&amp;" ==&gt; "&amp;ROUND(AE542*100,0)&amp;" %"),IF(AB540&gt;=AB541,"- Le CA de référence est celui de Juillet 2019, soit une perte de "&amp;ROUND(AB540,0)&amp;" €"&amp;" ==&gt; "&amp;ROUND(AE540*100,0)&amp;" %","- Le CA de référence est celui de l'exercice 2019, soit une perte de "&amp;ROUND(AB541,0)&amp;" €"&amp;" ==&gt; "&amp;ROUND(AE541*100,0)&amp;" %")),"")</f>
        <v>- Le CA de référence est celui de Juillet 2019, soit une perte de 0 € ==&gt; 0 %</v>
      </c>
      <c r="E571" s="523"/>
      <c r="F571" s="523"/>
      <c r="G571" s="523"/>
      <c r="H571" s="523"/>
      <c r="I571" s="523"/>
      <c r="J571" s="523"/>
      <c r="K571" s="523"/>
      <c r="L571" s="523"/>
      <c r="M571" s="523"/>
      <c r="N571" s="523"/>
      <c r="O571" s="523"/>
      <c r="P571" s="1"/>
      <c r="T571" s="14"/>
      <c r="U571" s="343"/>
      <c r="V571" s="343"/>
      <c r="W571" s="343"/>
      <c r="X571" s="343"/>
      <c r="Y571" s="349" t="s">
        <v>491</v>
      </c>
      <c r="Z571" s="1"/>
      <c r="AA571" s="14"/>
      <c r="AB571" s="343" t="b">
        <f>IF(AND(Annexes!M39=TRUE,AB574&gt;=0.5),TRUE,FALSE)</f>
        <v>0</v>
      </c>
      <c r="AC571" s="1"/>
      <c r="AD571" s="1"/>
      <c r="AE571" s="13"/>
    </row>
    <row r="572" spans="1:31" ht="16.5" hidden="1" customHeight="1">
      <c r="A572" s="99"/>
      <c r="B572" s="103"/>
      <c r="C572" s="342"/>
      <c r="D572" s="524" t="str">
        <f>IFERROR(IF('Mon Entreprise'!K8&gt;=Annexes!O20,"",IF(AB540&lt;AB541,"A noter qu'il convient de choisir l'option retenue par l'entreprise lors de sa demande au titre du mois Février ou a défaut celui du mois de Mars, Avril, Mai, ou Juin 2021, si le CA de référence était celui de février (...) 2019,"&amp;" il convient de prendre celui de Juillet 2019, soit "&amp;ROUND(AB540,0)&amp;" €"&amp;" ==&gt; "&amp;ROUND(AE540*100,0)&amp;" %","A noter qu'il convient de choisir l'option retenue par l'entreprise lors de sa demande"&amp;" au titre du mois Février  ou a défaut celui du mois de Mars, Avril, Mai, ou Juin 2021, si le CA de référence était celui de l'exercice 2019, il convient de prendre celui de l'exercie 2019, soit une perte de "&amp;ROUND(AB541,0)&amp;" €"&amp;" ==&gt; "&amp;ROUND(AE541*100,0)&amp;" %")),"")</f>
        <v>A noter qu'il convient de choisir l'option retenue par l'entreprise lors de sa demande au titre du mois Février  ou a défaut celui du mois de Mars, Avril, Mai, ou Juin 2021, si le CA de référence était celui de l'exercice 2019, il convient de prendre celui de l'exercie 2019, soit une perte de 0 € ==&gt; 0 %</v>
      </c>
      <c r="E572" s="524"/>
      <c r="F572" s="524"/>
      <c r="G572" s="524"/>
      <c r="H572" s="524"/>
      <c r="I572" s="524"/>
      <c r="J572" s="524"/>
      <c r="K572" s="524"/>
      <c r="L572" s="524"/>
      <c r="M572" s="524"/>
      <c r="N572" s="524"/>
      <c r="O572" s="524"/>
      <c r="P572" s="1"/>
      <c r="T572" s="14"/>
      <c r="U572" s="525" t="s">
        <v>72</v>
      </c>
      <c r="V572" s="525"/>
      <c r="W572" s="525"/>
      <c r="X572" s="525"/>
      <c r="Y572" s="525"/>
      <c r="Z572" s="139"/>
      <c r="AA572" s="145"/>
      <c r="AB572" s="344" t="str">
        <f>IF(AB552="Oui","Oui","Non")</f>
        <v>Oui</v>
      </c>
      <c r="AC572" s="139"/>
      <c r="AD572" s="1"/>
      <c r="AE572" s="13"/>
    </row>
    <row r="573" spans="1:31" ht="16.5" hidden="1" customHeight="1">
      <c r="A573" s="99"/>
      <c r="B573" s="103"/>
      <c r="C573" s="342"/>
      <c r="D573" s="524"/>
      <c r="E573" s="524"/>
      <c r="F573" s="524"/>
      <c r="G573" s="524"/>
      <c r="H573" s="524"/>
      <c r="I573" s="524"/>
      <c r="J573" s="524"/>
      <c r="K573" s="524"/>
      <c r="L573" s="524"/>
      <c r="M573" s="524"/>
      <c r="N573" s="524"/>
      <c r="O573" s="524"/>
      <c r="P573" s="1"/>
      <c r="T573" s="14"/>
      <c r="U573" s="525" t="s">
        <v>84</v>
      </c>
      <c r="V573" s="525"/>
      <c r="W573" s="525"/>
      <c r="X573" s="525"/>
      <c r="Y573" s="525"/>
      <c r="Z573" s="139"/>
      <c r="AA573" s="145"/>
      <c r="AB573" s="344">
        <f>IF('Mon Entreprise'!K8&gt;=Annexes!O20,IF(AB540&gt;=AB542,AB540,AB542),IF(AB540&gt;=AB541,AB540,AB541))</f>
        <v>0</v>
      </c>
      <c r="AC573" s="139"/>
      <c r="AD573" s="1"/>
      <c r="AE573" s="13"/>
    </row>
    <row r="574" spans="1:31" ht="16.5" hidden="1" customHeight="1">
      <c r="B574" s="103"/>
      <c r="C574" s="342"/>
      <c r="D574" s="215"/>
      <c r="E574" s="340"/>
      <c r="F574" s="340"/>
      <c r="G574" s="340"/>
      <c r="H574" s="340"/>
      <c r="I574" s="340"/>
      <c r="J574" s="340"/>
      <c r="K574" s="340"/>
      <c r="L574" s="340"/>
      <c r="M574" s="340"/>
      <c r="N574" s="340"/>
      <c r="O574" s="340"/>
      <c r="P574" s="1"/>
      <c r="T574" s="14"/>
      <c r="U574" s="525" t="s">
        <v>85</v>
      </c>
      <c r="V574" s="525"/>
      <c r="W574" s="525"/>
      <c r="X574" s="525"/>
      <c r="Y574" s="525"/>
      <c r="Z574" s="139"/>
      <c r="AA574" s="145"/>
      <c r="AB574" s="344">
        <f>IF('Mon Entreprise'!K8&gt;=Annexes!O20,IF(AB540&gt;=AB542,AE540,AE542),IF(AB540&gt;=AB541,AE540,AE541))</f>
        <v>0</v>
      </c>
      <c r="AC574" s="139"/>
      <c r="AD574" s="1"/>
      <c r="AE574" s="13"/>
    </row>
    <row r="575" spans="1:31" ht="16.5" hidden="1" customHeight="1" thickBot="1">
      <c r="B575" s="103"/>
      <c r="C575" s="342"/>
      <c r="D575" s="340"/>
      <c r="E575" s="340"/>
      <c r="F575" s="340"/>
      <c r="G575" s="340"/>
      <c r="H575" s="340"/>
      <c r="I575" s="340"/>
      <c r="J575" s="340"/>
      <c r="K575" s="340"/>
      <c r="L575" s="340"/>
      <c r="M575" s="340"/>
      <c r="N575" s="340"/>
      <c r="O575" s="340"/>
      <c r="P575" s="1"/>
      <c r="T575" s="14"/>
      <c r="U575" s="502" t="s">
        <v>74</v>
      </c>
      <c r="V575" s="502"/>
      <c r="W575" s="502"/>
      <c r="X575" s="502"/>
      <c r="Y575" s="502"/>
      <c r="Z575" s="139"/>
      <c r="AA575" s="145"/>
      <c r="AB575" s="344">
        <v>1</v>
      </c>
      <c r="AC575" s="139"/>
      <c r="AD575" s="1"/>
      <c r="AE575" s="13"/>
    </row>
    <row r="576" spans="1:31" ht="16.5" hidden="1" customHeight="1">
      <c r="B576" s="103"/>
      <c r="C576" s="342"/>
      <c r="D576" s="527" t="str">
        <f>IFERROR(IF(AB572="NON","Vous avez débuté votre activité après le 31 Janvier 2020, vous ne pouvez donc pas bénéficier de cette aide",IF(OR(AB567="OUI",AB569="OUI",AND(AB568="OUI",OR(AB562&lt;Annexes!P5,AB563&lt;Annexes!P5,'Mes Aides'!AB198&lt;0.1))),IF(AND(0.3*AB577&gt;Annexes!O8,0.2*AB576&gt;Annexes!O8),"Dans votre cas, l'aide est plafonnée, à "&amp;Annexes!O8&amp;" € pour le mois de Juillet",IF(0.3*AB577&gt;=0.2*AB576,"Dans votre cas, 30 % de la perte est supérieur à 20 % du CA, l'aide est donc plafonnée à 20 % du CA, soit "&amp;ROUND(0.2*AB576,0)&amp;" € pour le mois de Juillet","Dans votre cas, 30% de la perte est inférieure à 20 % du CA, l'aide est donc plafonnée à 30 % de la perte, soit "&amp;ROUND(0.3*AB577,0)&amp;" € pour le mois de Juillet")),"Vous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576" s="509"/>
      <c r="F576" s="509"/>
      <c r="G576" s="509"/>
      <c r="H576" s="509"/>
      <c r="I576" s="509"/>
      <c r="J576" s="509"/>
      <c r="K576" s="509"/>
      <c r="L576" s="509"/>
      <c r="M576" s="509"/>
      <c r="N576" s="509"/>
      <c r="O576" s="510"/>
      <c r="P576" s="1"/>
      <c r="T576" s="14"/>
      <c r="U576" s="502" t="s">
        <v>80</v>
      </c>
      <c r="V576" s="502"/>
      <c r="W576" s="502"/>
      <c r="X576" s="502"/>
      <c r="Y576" s="502"/>
      <c r="Z576" s="139"/>
      <c r="AA576" s="145"/>
      <c r="AB576" s="344">
        <f>IF('Mon Entreprise'!K8&gt;=Annexes!O20,IF(AB540&gt;=AB542,Y540,Y542),IF(AB540&gt;=AB541,Y540,Y541))</f>
        <v>0</v>
      </c>
      <c r="AC576" s="139"/>
      <c r="AD576" s="1"/>
      <c r="AE576" s="13"/>
    </row>
    <row r="577" spans="2:31" ht="16.5" hidden="1" customHeight="1">
      <c r="B577" s="173"/>
      <c r="C577" s="342"/>
      <c r="D577" s="511"/>
      <c r="E577" s="512"/>
      <c r="F577" s="512"/>
      <c r="G577" s="512"/>
      <c r="H577" s="512"/>
      <c r="I577" s="512"/>
      <c r="J577" s="512"/>
      <c r="K577" s="512"/>
      <c r="L577" s="512"/>
      <c r="M577" s="512"/>
      <c r="N577" s="512"/>
      <c r="O577" s="513"/>
      <c r="P577" s="1"/>
      <c r="T577" s="14"/>
      <c r="U577" s="490" t="s">
        <v>104</v>
      </c>
      <c r="V577" s="490"/>
      <c r="W577" s="490"/>
      <c r="X577" s="490"/>
      <c r="Y577" s="490"/>
      <c r="Z577" s="1"/>
      <c r="AA577" s="14"/>
      <c r="AB577" s="343">
        <f>IF(AB575=1,AB573,IF(AB573*AB575&gt;1500,IF(AB573&gt;1500,AB573*AB575,"Impossible"),IF(AB573&lt;1500,AB573,1500)))</f>
        <v>0</v>
      </c>
      <c r="AC577" s="1"/>
      <c r="AD577" s="1"/>
      <c r="AE577" s="13"/>
    </row>
    <row r="578" spans="2:31" ht="16.5" hidden="1" customHeight="1">
      <c r="B578" s="103"/>
      <c r="C578" s="342"/>
      <c r="D578" s="511"/>
      <c r="E578" s="512"/>
      <c r="F578" s="512"/>
      <c r="G578" s="512"/>
      <c r="H578" s="512"/>
      <c r="I578" s="512"/>
      <c r="J578" s="512"/>
      <c r="K578" s="512"/>
      <c r="L578" s="512"/>
      <c r="M578" s="512"/>
      <c r="N578" s="512"/>
      <c r="O578" s="513"/>
      <c r="P578" s="1"/>
      <c r="T578" s="14"/>
      <c r="U578" s="343"/>
      <c r="V578" s="343"/>
      <c r="W578" s="343"/>
      <c r="X578" s="343"/>
      <c r="Y578" s="343"/>
      <c r="Z578" s="1"/>
      <c r="AA578" s="1"/>
      <c r="AB578" s="1"/>
      <c r="AC578" s="1"/>
      <c r="AD578" s="1"/>
      <c r="AE578" s="13"/>
    </row>
    <row r="579" spans="2:31" ht="16.5" hidden="1" customHeight="1" thickBot="1">
      <c r="B579" s="103"/>
      <c r="C579" s="342"/>
      <c r="D579" s="514"/>
      <c r="E579" s="515"/>
      <c r="F579" s="515"/>
      <c r="G579" s="515"/>
      <c r="H579" s="515"/>
      <c r="I579" s="515"/>
      <c r="J579" s="515"/>
      <c r="K579" s="515"/>
      <c r="L579" s="515"/>
      <c r="M579" s="515"/>
      <c r="N579" s="515"/>
      <c r="O579" s="516"/>
      <c r="P579" s="1"/>
      <c r="T579" s="14"/>
      <c r="U579" s="490"/>
      <c r="V579" s="490"/>
      <c r="W579" s="490"/>
      <c r="X579" s="490"/>
      <c r="Y579" s="490"/>
      <c r="Z579" s="1"/>
      <c r="AA579" s="1"/>
      <c r="AB579" s="1"/>
      <c r="AC579" s="1"/>
      <c r="AD579" s="1"/>
      <c r="AE579" s="13"/>
    </row>
    <row r="580" spans="2:31" ht="16.5" hidden="1" customHeight="1">
      <c r="B580" s="103"/>
      <c r="C580" s="169"/>
      <c r="D580" s="174"/>
      <c r="E580" s="174"/>
      <c r="F580" s="174"/>
      <c r="G580" s="174"/>
      <c r="H580" s="174"/>
      <c r="I580" s="174"/>
      <c r="J580" s="174"/>
      <c r="K580" s="174"/>
      <c r="L580" s="174"/>
      <c r="M580" s="174"/>
      <c r="N580" s="174"/>
      <c r="O580" s="174"/>
      <c r="P580" s="1"/>
      <c r="T580" s="14"/>
      <c r="U580" s="343"/>
      <c r="V580" s="343"/>
      <c r="W580" s="343"/>
      <c r="X580" s="343"/>
      <c r="Y580" s="343"/>
      <c r="Z580" s="1"/>
      <c r="AA580" s="1"/>
      <c r="AB580" s="1"/>
      <c r="AC580" s="1"/>
      <c r="AD580" s="1"/>
      <c r="AE580" s="13"/>
    </row>
    <row r="581" spans="2:31" ht="16.5" hidden="1" customHeight="1">
      <c r="B581" s="103"/>
      <c r="C581" s="342"/>
      <c r="D581" s="340"/>
      <c r="E581" s="340"/>
      <c r="F581" s="340"/>
      <c r="G581" s="340"/>
      <c r="H581" s="340"/>
      <c r="I581" s="340"/>
      <c r="J581" s="340"/>
      <c r="K581" s="340"/>
      <c r="L581" s="340"/>
      <c r="M581" s="340"/>
      <c r="N581" s="340"/>
      <c r="O581" s="340"/>
      <c r="P581" s="1"/>
      <c r="T581" s="14"/>
      <c r="U581" s="1"/>
      <c r="V581" s="1"/>
      <c r="W581" s="1"/>
      <c r="X581" s="1"/>
      <c r="Y581" s="1"/>
      <c r="Z581" s="1"/>
      <c r="AA581" s="1"/>
      <c r="AB581" s="1"/>
      <c r="AC581" s="1"/>
      <c r="AD581" s="1"/>
      <c r="AE581" s="13"/>
    </row>
    <row r="582" spans="2:31" ht="16.5" hidden="1" customHeight="1">
      <c r="B582" s="103"/>
      <c r="C582" s="529" t="s">
        <v>479</v>
      </c>
      <c r="D582" s="529"/>
      <c r="E582" s="529"/>
      <c r="F582" s="529"/>
      <c r="G582" s="529"/>
      <c r="H582" s="529"/>
      <c r="I582" s="529"/>
      <c r="J582" s="529"/>
      <c r="K582" s="529"/>
      <c r="L582" s="529"/>
      <c r="M582" s="529"/>
      <c r="N582" s="529"/>
      <c r="O582" s="529"/>
      <c r="P582" s="1"/>
      <c r="T582" s="14"/>
      <c r="U582" s="1"/>
      <c r="V582" s="1"/>
      <c r="W582" s="1"/>
      <c r="X582" s="1"/>
      <c r="Y582" s="1"/>
      <c r="Z582" s="1"/>
      <c r="AA582" s="1"/>
      <c r="AB582" s="1"/>
      <c r="AC582" s="1"/>
      <c r="AD582" s="1"/>
      <c r="AE582" s="13"/>
    </row>
    <row r="583" spans="2:31" ht="16.5" hidden="1" customHeight="1">
      <c r="B583" s="173"/>
      <c r="C583" s="342"/>
      <c r="D583" s="306"/>
      <c r="E583" s="528" t="str">
        <f>IF(AB572="NON","",IF(AB570=TRUE,"","L'entreprise n'a pas été en fermeture administrative sur le mois avec une perte de 20 % de CA"))</f>
        <v>L'entreprise n'a pas été en fermeture administrative sur le mois avec une perte de 20 % de CA</v>
      </c>
      <c r="F583" s="528"/>
      <c r="G583" s="528"/>
      <c r="H583" s="528"/>
      <c r="I583" s="528"/>
      <c r="J583" s="528"/>
      <c r="K583" s="528"/>
      <c r="L583" s="528"/>
      <c r="M583" s="528"/>
      <c r="N583" s="528"/>
      <c r="O583" s="528"/>
      <c r="P583" s="1"/>
      <c r="T583" s="14"/>
      <c r="U583" s="502" t="s">
        <v>82</v>
      </c>
      <c r="V583" s="502"/>
      <c r="W583" s="502"/>
      <c r="X583" s="502"/>
      <c r="Y583" s="502"/>
      <c r="Z583" s="68"/>
      <c r="AA583" s="1"/>
      <c r="AB583" s="1">
        <f>IFERROR(IF(AB552="Non",0,IF(AND(AB571=TRUE,AB555&gt;=0.5),IF(AB554&gt;Annexes!O5,Annexes!O5,ROUND(AB554,0)),0)),0)</f>
        <v>0</v>
      </c>
      <c r="AC583" s="1"/>
      <c r="AD583" s="1"/>
      <c r="AE583" s="13"/>
    </row>
    <row r="584" spans="2:31" ht="15" hidden="1" customHeight="1">
      <c r="B584" s="173"/>
      <c r="C584" s="342"/>
      <c r="D584" s="306"/>
      <c r="E584" s="528"/>
      <c r="F584" s="528"/>
      <c r="G584" s="528"/>
      <c r="H584" s="528"/>
      <c r="I584" s="528"/>
      <c r="J584" s="528"/>
      <c r="K584" s="528"/>
      <c r="L584" s="528"/>
      <c r="M584" s="528"/>
      <c r="N584" s="528"/>
      <c r="O584" s="528"/>
      <c r="P584" s="1"/>
      <c r="T584" s="14"/>
      <c r="U584" s="502" t="s">
        <v>504</v>
      </c>
      <c r="V584" s="502"/>
      <c r="W584" s="502"/>
      <c r="X584" s="502"/>
      <c r="Y584" s="502"/>
      <c r="Z584" s="68"/>
      <c r="AA584" s="1"/>
      <c r="AB584" s="1">
        <f>IFERROR(IF(AB572="NON",0,IF(OR(AB567="OUI",AB569="OUI",AND(AB568="OUI",OR(AB562&lt;Annexes!P5,AB563&lt;Annexes!P5,'Mes Aides'!AB198&lt;0.1))),IF(AND(0.3*AB577,0.2*AB576)&lt;Annexes!O8,Annexes!O8,IF(0.3*AB577&gt;=0.2*AB576,ROUND(0.2*AB576,0),ROUND(0.3*AB577,0))),0)),0)</f>
        <v>0</v>
      </c>
      <c r="AC584" s="1"/>
      <c r="AD584" s="1"/>
      <c r="AE584" s="13"/>
    </row>
    <row r="585" spans="2:31" ht="15" hidden="1" customHeight="1">
      <c r="B585" s="173"/>
      <c r="C585" s="342"/>
      <c r="D585" s="306"/>
      <c r="E585" s="353"/>
      <c r="F585" s="353"/>
      <c r="G585" s="353"/>
      <c r="H585" s="353"/>
      <c r="I585" s="353"/>
      <c r="J585" s="353"/>
      <c r="K585" s="353"/>
      <c r="L585" s="353"/>
      <c r="M585" s="353"/>
      <c r="N585" s="353"/>
      <c r="O585" s="353"/>
      <c r="P585" s="1"/>
      <c r="T585" s="14"/>
      <c r="U585" s="502" t="s">
        <v>478</v>
      </c>
      <c r="V585" s="502"/>
      <c r="W585" s="502"/>
      <c r="X585" s="502"/>
      <c r="Y585" s="502"/>
      <c r="Z585" s="68"/>
      <c r="AA585" s="1"/>
      <c r="AB585" s="1">
        <f>IFERROR(IF(AB572="NON",0,IF(AB570=TRUE,IF(AB576*0.2&gt;Annexes!O8,Annexes!O8,ROUND(AB576*0.2,0)),0)),0)</f>
        <v>0</v>
      </c>
      <c r="AC585" s="1"/>
      <c r="AD585" s="1"/>
      <c r="AE585" s="13"/>
    </row>
    <row r="586" spans="2:31" ht="16.5" hidden="1" customHeight="1">
      <c r="B586" s="173"/>
      <c r="C586" s="342"/>
      <c r="D586" s="417" t="str">
        <f>IFERROR(IF('Mon Entreprise'!K8&gt;=Annexes!O20,IF(AB540&gt;=AB542,"- Le CA de référence est celui de Juillet 2019, soit une perte de "&amp;ROUND(AB540,0)&amp;" €"&amp;" ==&gt; "&amp;ROUND(AE540*100,0)&amp;" %","- Le CA de référence est celui de la création, soit une perte de "&amp;ROUND(AB542,0)&amp;" €"&amp;" ==&gt; "&amp;ROUND(AE542*100,0)&amp;" %"),IF(AB540&gt;=AB541,"- Le CA de référence est celui de Juillet 2019, soit une perte de "&amp;ROUND(AB540,0)&amp;" €"&amp;" ==&gt; "&amp;ROUND(AE540*100,0)&amp;" %","- Le CA de référence est celui de l'exercice 2019, soit une perte de "&amp;ROUND(AB541,0)&amp;" €"&amp;" ==&gt; "&amp;ROUND(AE541*100,0)&amp;" %")),"")</f>
        <v>- Le CA de référence est celui de Juillet 2019, soit une perte de 0 € ==&gt; 0 %</v>
      </c>
      <c r="E586" s="417"/>
      <c r="F586" s="417"/>
      <c r="G586" s="417"/>
      <c r="H586" s="417"/>
      <c r="I586" s="417"/>
      <c r="J586" s="417"/>
      <c r="K586" s="417"/>
      <c r="L586" s="417"/>
      <c r="M586" s="417"/>
      <c r="N586" s="417"/>
      <c r="O586" s="417"/>
      <c r="P586" s="340"/>
      <c r="Q586" s="340"/>
      <c r="T586" s="14"/>
      <c r="U586" s="1"/>
      <c r="V586" s="1"/>
      <c r="W586" s="1"/>
      <c r="X586" s="1"/>
      <c r="Y586" s="1"/>
      <c r="Z586" s="1"/>
      <c r="AA586" s="1"/>
      <c r="AB586" s="1"/>
      <c r="AC586" s="1"/>
      <c r="AD586" s="1"/>
      <c r="AE586" s="13"/>
    </row>
    <row r="587" spans="2:31" ht="16.5" hidden="1" customHeight="1">
      <c r="B587" s="173"/>
      <c r="C587" s="342"/>
      <c r="D587" s="524" t="str">
        <f>IFERROR(IF('Mon Entreprise'!K8&gt;=Annexes!O20,"",IF(AB540&lt;AB541,"A noter qu'il convient de choisir l'option retenue par l'entreprise lors de sa demande au titre du mois Février ou a défaut celui du mois de Mars, Avril, Mai, ou Juin 2021, si le CA de référence était celui de février (...) 2019, il convient"&amp;" de prendre celui de Juillet 2019 (...), soit "&amp;ROUND(AB540,0)&amp;" €"&amp;" ==&gt; "&amp;ROUND(AE540*100,0)&amp;" %","A noter qu'il convient de choisir l'option retenue par l'entreprise lors de sa demande au titre du mois Février "&amp;"ou a défaut celui du mois de Mars, d'Avril, Mai, ou Juin 2021, si le CA de référence était celui de l'exercice 2019, il convient de prendre celui de l'exercie 2019, soit une perte de "&amp;ROUND(AB541,0)&amp;" €"&amp;" ==&gt; "&amp;ROUND(AE541*100,0)&amp;" %")),"")</f>
        <v>A noter qu'il convient de choisir l'option retenue par l'entreprise lors de sa demande au titre du mois Février ou a défaut celui du mois de Mars, d'Avril, Mai, ou Juin 2021, si le CA de référence était celui de l'exercice 2019, il convient de prendre celui de l'exercie 2019, soit une perte de 0 € ==&gt; 0 %</v>
      </c>
      <c r="E587" s="524"/>
      <c r="F587" s="524"/>
      <c r="G587" s="524"/>
      <c r="H587" s="524"/>
      <c r="I587" s="524"/>
      <c r="J587" s="524"/>
      <c r="K587" s="524"/>
      <c r="L587" s="524"/>
      <c r="M587" s="524"/>
      <c r="N587" s="524"/>
      <c r="O587" s="524"/>
      <c r="P587" s="340"/>
      <c r="Q587" s="340"/>
      <c r="T587" s="14"/>
      <c r="U587" s="1"/>
      <c r="V587" s="1"/>
      <c r="W587" s="1"/>
      <c r="X587" s="1"/>
      <c r="Y587" s="1"/>
      <c r="Z587" s="1"/>
      <c r="AA587" s="1"/>
      <c r="AB587" s="1"/>
      <c r="AC587" s="1"/>
      <c r="AD587" s="1"/>
      <c r="AE587" s="13"/>
    </row>
    <row r="588" spans="2:31" ht="16.5" hidden="1" customHeight="1">
      <c r="B588" s="173"/>
      <c r="C588" s="342"/>
      <c r="D588" s="524"/>
      <c r="E588" s="524"/>
      <c r="F588" s="524"/>
      <c r="G588" s="524"/>
      <c r="H588" s="524"/>
      <c r="I588" s="524"/>
      <c r="J588" s="524"/>
      <c r="K588" s="524"/>
      <c r="L588" s="524"/>
      <c r="M588" s="524"/>
      <c r="N588" s="524"/>
      <c r="O588" s="524"/>
      <c r="P588" s="340"/>
      <c r="Q588" s="340"/>
      <c r="T588" s="14"/>
      <c r="U588" s="1"/>
      <c r="V588" s="1"/>
      <c r="W588" s="1"/>
      <c r="X588" s="1"/>
      <c r="Y588" s="1"/>
      <c r="Z588" s="1"/>
      <c r="AA588" s="1"/>
      <c r="AB588" s="1"/>
      <c r="AC588" s="1"/>
      <c r="AD588" s="1"/>
      <c r="AE588" s="13"/>
    </row>
    <row r="589" spans="2:31" ht="16.5" hidden="1" customHeight="1" thickBot="1">
      <c r="B589" s="168"/>
      <c r="C589" s="342"/>
      <c r="D589" s="205"/>
      <c r="E589" s="340"/>
      <c r="F589" s="340"/>
      <c r="G589" s="340"/>
      <c r="H589" s="340"/>
      <c r="I589" s="340"/>
      <c r="J589" s="340"/>
      <c r="K589" s="340"/>
      <c r="L589" s="340"/>
      <c r="M589" s="340"/>
      <c r="N589" s="340"/>
      <c r="O589" s="340"/>
      <c r="P589" s="340"/>
      <c r="Q589" s="340"/>
      <c r="T589" s="14"/>
      <c r="U589" s="1"/>
      <c r="V589" s="1"/>
      <c r="W589" s="1"/>
      <c r="X589" s="1"/>
      <c r="Y589" s="1"/>
      <c r="Z589" s="1"/>
      <c r="AA589" s="1"/>
      <c r="AB589" s="1"/>
      <c r="AC589" s="1"/>
      <c r="AD589" s="1"/>
      <c r="AE589" s="13"/>
    </row>
    <row r="590" spans="2:31" ht="16.5" hidden="1" customHeight="1">
      <c r="B590" s="103"/>
      <c r="C590" s="180"/>
      <c r="D590" s="526" t="str">
        <f>IFERROR(IF(AB572="NON","Vous avez débuté votre activité après le 31 Janvier 2020, vous ne pouvez donc pas bénéficier de cette aide",IF(AB570=TRUE,IF(AB576*0.2&gt;Annexes!O8,"Dans votre cas, l'aide est plafonnée, à "&amp;Annexes!O8&amp;" € pour le mois de Juillet","Dans votre cas, l'aide est plafonnée à 20 % du CA, soit "&amp;ROUND(AB576*0.2,0)&amp;" € pour le mois de Juillet"),"Vous ne faites pas partie des entreprises en fermeture Administrative avec 20 % de perte de CA")),"Vous n'avez pas indiqué de chiffre d'affaires de référence")</f>
        <v>Vous ne faites pas partie des entreprises en fermeture Administrative avec 20 % de perte de CA</v>
      </c>
      <c r="E590" s="509"/>
      <c r="F590" s="509"/>
      <c r="G590" s="509"/>
      <c r="H590" s="509"/>
      <c r="I590" s="509"/>
      <c r="J590" s="509"/>
      <c r="K590" s="509"/>
      <c r="L590" s="509"/>
      <c r="M590" s="509"/>
      <c r="N590" s="509"/>
      <c r="O590" s="510"/>
      <c r="P590" s="340"/>
      <c r="Q590" s="340"/>
      <c r="T590" s="14"/>
      <c r="U590" s="1"/>
      <c r="V590" s="1"/>
      <c r="W590" s="1"/>
      <c r="X590" s="1"/>
      <c r="Y590" s="1"/>
      <c r="Z590" s="1"/>
      <c r="AA590" s="1"/>
      <c r="AB590" s="1"/>
      <c r="AC590" s="1"/>
      <c r="AD590" s="1"/>
      <c r="AE590" s="13"/>
    </row>
    <row r="591" spans="2:31" ht="16.5" hidden="1" customHeight="1">
      <c r="B591" s="103"/>
      <c r="C591" s="180"/>
      <c r="D591" s="511"/>
      <c r="E591" s="512"/>
      <c r="F591" s="512"/>
      <c r="G591" s="512"/>
      <c r="H591" s="512"/>
      <c r="I591" s="512"/>
      <c r="J591" s="512"/>
      <c r="K591" s="512"/>
      <c r="L591" s="512"/>
      <c r="M591" s="512"/>
      <c r="N591" s="512"/>
      <c r="O591" s="513"/>
      <c r="P591" s="340"/>
      <c r="Q591" s="340"/>
      <c r="T591" s="14"/>
      <c r="U591" s="1"/>
      <c r="V591" s="1"/>
      <c r="W591" s="1"/>
      <c r="X591" s="1"/>
      <c r="Y591" s="1"/>
      <c r="Z591" s="1"/>
      <c r="AA591" s="1"/>
      <c r="AB591" s="1"/>
      <c r="AC591" s="1"/>
      <c r="AD591" s="1"/>
      <c r="AE591" s="13"/>
    </row>
    <row r="592" spans="2:31" ht="16.5" hidden="1" customHeight="1">
      <c r="B592" s="103"/>
      <c r="C592" s="180"/>
      <c r="D592" s="511"/>
      <c r="E592" s="512"/>
      <c r="F592" s="512"/>
      <c r="G592" s="512"/>
      <c r="H592" s="512"/>
      <c r="I592" s="512"/>
      <c r="J592" s="512"/>
      <c r="K592" s="512"/>
      <c r="L592" s="512"/>
      <c r="M592" s="512"/>
      <c r="N592" s="512"/>
      <c r="O592" s="513"/>
      <c r="P592" s="175"/>
      <c r="Q592" s="175"/>
      <c r="T592" s="14"/>
      <c r="U592" s="1"/>
      <c r="V592" s="1"/>
      <c r="W592" s="1"/>
      <c r="X592" s="1"/>
      <c r="Y592" s="1"/>
      <c r="Z592" s="1"/>
      <c r="AA592" s="1"/>
      <c r="AB592" s="1"/>
      <c r="AC592" s="1"/>
      <c r="AD592" s="1"/>
      <c r="AE592" s="13"/>
    </row>
    <row r="593" spans="2:31" ht="16.5" hidden="1" customHeight="1" thickBot="1">
      <c r="B593" s="103"/>
      <c r="C593" s="180"/>
      <c r="D593" s="514"/>
      <c r="E593" s="515"/>
      <c r="F593" s="515"/>
      <c r="G593" s="515"/>
      <c r="H593" s="515"/>
      <c r="I593" s="515"/>
      <c r="J593" s="515"/>
      <c r="K593" s="515"/>
      <c r="L593" s="515"/>
      <c r="M593" s="515"/>
      <c r="N593" s="515"/>
      <c r="O593" s="516"/>
      <c r="T593" s="14"/>
      <c r="U593" s="1"/>
      <c r="V593" s="1"/>
      <c r="W593" s="1"/>
      <c r="X593" s="1"/>
      <c r="Y593" s="1"/>
      <c r="Z593" s="1"/>
      <c r="AA593" s="1"/>
      <c r="AB593" s="1"/>
      <c r="AC593" s="1"/>
      <c r="AD593" s="1"/>
      <c r="AE593" s="13"/>
    </row>
    <row r="594" spans="2:31" ht="16.5" hidden="1" customHeight="1">
      <c r="B594" s="5"/>
      <c r="C594" s="5"/>
      <c r="D594" s="354"/>
      <c r="E594" s="354"/>
      <c r="F594" s="354"/>
      <c r="G594" s="354"/>
      <c r="H594" s="354"/>
      <c r="I594" s="354"/>
      <c r="J594" s="354"/>
      <c r="K594" s="354"/>
      <c r="L594" s="354"/>
      <c r="M594" s="354"/>
      <c r="N594" s="354"/>
      <c r="O594" s="354"/>
      <c r="P594" s="177"/>
      <c r="Q594" s="177"/>
      <c r="T594" s="14"/>
      <c r="U594" s="1"/>
      <c r="V594" s="1"/>
      <c r="W594" s="1"/>
      <c r="X594" s="1"/>
      <c r="Y594" s="1"/>
      <c r="Z594" s="1"/>
      <c r="AA594" s="1"/>
      <c r="AB594" s="1"/>
      <c r="AC594" s="1"/>
      <c r="AD594" s="1"/>
      <c r="AE594" s="13"/>
    </row>
    <row r="595" spans="2:31">
      <c r="B595" s="5"/>
      <c r="C595" s="5"/>
      <c r="D595" s="355"/>
      <c r="E595" s="355"/>
      <c r="F595" s="355"/>
      <c r="G595" s="355"/>
      <c r="H595" s="355"/>
      <c r="I595" s="355"/>
      <c r="J595" s="355"/>
      <c r="K595" s="355"/>
      <c r="L595" s="355"/>
      <c r="M595" s="355"/>
      <c r="N595" s="355"/>
      <c r="O595" s="355"/>
      <c r="P595" s="177"/>
      <c r="Q595" s="177"/>
      <c r="T595" s="14"/>
      <c r="U595" s="1"/>
      <c r="V595" s="1"/>
      <c r="W595" s="1"/>
      <c r="X595" s="1"/>
      <c r="Y595" s="1"/>
      <c r="Z595" s="1"/>
      <c r="AA595" s="1"/>
      <c r="AB595" s="1"/>
      <c r="AC595" s="1"/>
      <c r="AD595" s="1"/>
      <c r="AE595" s="13"/>
    </row>
    <row r="596" spans="2:31" ht="16.5" thickBot="1">
      <c r="B596" s="220"/>
      <c r="C596" s="488" t="s">
        <v>496</v>
      </c>
      <c r="D596" s="488"/>
      <c r="E596" s="488"/>
      <c r="F596" s="488"/>
      <c r="G596" s="488"/>
      <c r="H596" s="488"/>
      <c r="I596" s="221"/>
      <c r="J596" s="221"/>
      <c r="K596" s="221"/>
      <c r="L596" s="221"/>
      <c r="M596" s="221"/>
      <c r="N596" s="221"/>
      <c r="O596" s="221"/>
      <c r="T596" s="16"/>
      <c r="U596" s="11"/>
      <c r="V596" s="11"/>
      <c r="W596" s="11"/>
      <c r="X596" s="11"/>
      <c r="Y596" s="11"/>
      <c r="Z596" s="11"/>
      <c r="AA596" s="11"/>
      <c r="AB596" s="11"/>
      <c r="AC596" s="11"/>
      <c r="AD596" s="11"/>
      <c r="AE596" s="12"/>
    </row>
    <row r="597" spans="2:31" ht="15" customHeight="1">
      <c r="B597" s="63"/>
      <c r="C597" s="24"/>
      <c r="D597" s="24"/>
      <c r="E597" s="24"/>
      <c r="F597" s="24"/>
      <c r="G597" s="24"/>
      <c r="H597" s="63"/>
      <c r="I597" s="1"/>
      <c r="J597" s="1"/>
      <c r="K597" s="1"/>
      <c r="L597" s="1"/>
      <c r="M597" s="1"/>
      <c r="N597" s="1"/>
      <c r="O597" s="1"/>
      <c r="T597" s="14"/>
      <c r="U597" s="1"/>
      <c r="V597" s="1"/>
      <c r="W597" s="1"/>
      <c r="X597" s="1"/>
      <c r="Y597" s="1"/>
      <c r="Z597" s="1"/>
      <c r="AA597" s="1"/>
      <c r="AB597" s="1"/>
      <c r="AC597" s="1"/>
      <c r="AD597" s="1"/>
      <c r="AE597" s="13"/>
    </row>
    <row r="598" spans="2:31" ht="15" customHeight="1">
      <c r="B598" s="103"/>
      <c r="C598" s="489" t="s">
        <v>497</v>
      </c>
      <c r="D598" s="489"/>
      <c r="E598" s="489"/>
      <c r="F598" s="489"/>
      <c r="G598" s="489"/>
      <c r="H598" s="489"/>
      <c r="I598" s="489"/>
      <c r="J598" s="489"/>
      <c r="K598" s="489"/>
      <c r="L598" s="489"/>
      <c r="M598" s="489"/>
      <c r="N598" s="489"/>
      <c r="O598" s="489"/>
      <c r="P598" s="1"/>
      <c r="T598" s="25"/>
      <c r="U598" s="490" t="s">
        <v>20</v>
      </c>
      <c r="V598" s="490"/>
      <c r="W598" s="490"/>
      <c r="X598" s="1"/>
      <c r="Y598" s="364" t="s">
        <v>6</v>
      </c>
      <c r="Z598" s="364"/>
      <c r="AA598" s="364"/>
      <c r="AB598" s="364" t="s">
        <v>23</v>
      </c>
      <c r="AC598" s="364"/>
      <c r="AD598" s="364"/>
      <c r="AE598" s="26" t="s">
        <v>24</v>
      </c>
    </row>
    <row r="599" spans="2:31" ht="15.75" customHeight="1">
      <c r="B599" s="103"/>
      <c r="C599" s="357"/>
      <c r="D599" s="60" t="s">
        <v>435</v>
      </c>
      <c r="E599" s="357"/>
      <c r="F599" s="357"/>
      <c r="G599" s="357"/>
      <c r="H599" s="357"/>
      <c r="I599" s="357"/>
      <c r="J599" s="357"/>
      <c r="K599" s="357"/>
      <c r="L599" s="357"/>
      <c r="M599" s="357"/>
      <c r="N599" s="357"/>
      <c r="O599" s="357"/>
      <c r="P599" s="1"/>
      <c r="T599" s="25"/>
      <c r="U599" s="364"/>
      <c r="V599" s="364"/>
      <c r="W599" s="364"/>
      <c r="X599" s="1"/>
      <c r="Y599" s="364"/>
      <c r="Z599" s="364"/>
      <c r="AA599" s="364"/>
      <c r="AB599" s="364"/>
      <c r="AC599" s="364"/>
      <c r="AD599" s="364"/>
      <c r="AE599" s="26"/>
    </row>
    <row r="600" spans="2:31" ht="16.5" thickBot="1">
      <c r="B600" s="103"/>
      <c r="C600" s="357"/>
      <c r="D600" s="60"/>
      <c r="E600" s="357"/>
      <c r="F600" s="357"/>
      <c r="G600" s="357"/>
      <c r="H600" s="357"/>
      <c r="I600" s="357"/>
      <c r="J600" s="357"/>
      <c r="K600" s="357"/>
      <c r="L600" s="357"/>
      <c r="M600" s="357"/>
      <c r="N600" s="357"/>
      <c r="O600" s="357"/>
      <c r="P600" s="1"/>
      <c r="T600" s="491" t="s">
        <v>499</v>
      </c>
      <c r="U600" s="490"/>
      <c r="V600" s="490"/>
      <c r="W600" s="490"/>
      <c r="X600" s="1"/>
      <c r="Y600" s="7">
        <f>'Mon Entreprise'!I136</f>
        <v>0</v>
      </c>
      <c r="Z600" s="133"/>
      <c r="AA600" s="21"/>
      <c r="AB600" s="7">
        <f>IF('Mon Entreprise'!I136-'Mon Entreprise'!M136&lt;0,0,'Mon Entreprise'!I136-'Mon Entreprise'!M136)</f>
        <v>0</v>
      </c>
      <c r="AC600" s="13"/>
      <c r="AD600" s="1"/>
      <c r="AE600" s="27">
        <f>IFERROR(1-'Mon Entreprise'!M136/'Mon Entreprise'!I136,0)</f>
        <v>0</v>
      </c>
    </row>
    <row r="601" spans="2:31" ht="15.75">
      <c r="B601" s="103"/>
      <c r="C601" s="357"/>
      <c r="D601" s="492" t="str">
        <f>IFERROR(IF(AND(AB645=0,AB646=0,AB647=0),"Vous ne pouvez pas bénéficier du fonds de solidarité pour le mois d'Août 2021",IF(AND(AB647&gt;AB646,AB647&gt;AB645),"Votre entreprise peut bénéficier d'une aide de "&amp;AB647&amp;" €, au titre d'une fermeture Administrative avec une perte de 20 % de CA",IF(AB646&gt;AB645,"Votre entreprise peut bénéficier d'une aide de "&amp;AB646&amp;"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"&amp;AB645&amp;" €, au titre d'une fermeture administrative d'au moins 10 jours et d'une perte d'au-moins 50 % de votre CA en Août 2021"))),"Vous n'avez pas indiqué de chiffre d'affaires de référence")</f>
        <v>Vous ne pouvez pas bénéficier du fonds de solidarité pour le mois d'Août 2021</v>
      </c>
      <c r="E601" s="493"/>
      <c r="F601" s="493"/>
      <c r="G601" s="493"/>
      <c r="H601" s="493"/>
      <c r="I601" s="493"/>
      <c r="J601" s="493"/>
      <c r="K601" s="493"/>
      <c r="L601" s="493"/>
      <c r="M601" s="493"/>
      <c r="N601" s="493"/>
      <c r="O601" s="494"/>
      <c r="P601" s="1"/>
      <c r="T601" s="491" t="s">
        <v>25</v>
      </c>
      <c r="U601" s="490"/>
      <c r="V601" s="490"/>
      <c r="W601" s="490"/>
      <c r="X601" s="1"/>
      <c r="Y601" s="7">
        <f>'Mon Entreprise'!I98</f>
        <v>0</v>
      </c>
      <c r="Z601" s="133"/>
      <c r="AA601" s="21"/>
      <c r="AB601" s="7">
        <f>IF('Mon Entreprise'!I98-'Mon Entreprise'!M136&lt;0,0,'Mon Entreprise'!I98-'Mon Entreprise'!M136)</f>
        <v>0</v>
      </c>
      <c r="AC601" s="36"/>
      <c r="AD601" s="1"/>
      <c r="AE601" s="27">
        <f>IFERROR(1-'Mon Entreprise'!M136/'Mon Entreprise'!I98,0)</f>
        <v>0</v>
      </c>
    </row>
    <row r="602" spans="2:31" ht="15.75" customHeight="1">
      <c r="B602" s="103"/>
      <c r="C602" s="357"/>
      <c r="D602" s="495"/>
      <c r="E602" s="496"/>
      <c r="F602" s="496"/>
      <c r="G602" s="496"/>
      <c r="H602" s="496"/>
      <c r="I602" s="496"/>
      <c r="J602" s="496"/>
      <c r="K602" s="496"/>
      <c r="L602" s="496"/>
      <c r="M602" s="496"/>
      <c r="N602" s="496"/>
      <c r="O602" s="497"/>
      <c r="P602" s="1"/>
      <c r="T602" s="501" t="s">
        <v>22</v>
      </c>
      <c r="U602" s="502"/>
      <c r="V602" s="502"/>
      <c r="W602" s="502"/>
      <c r="X602" s="139"/>
      <c r="Y602" s="140" t="str">
        <f>IF('Mon Entreprise'!I148="","NC",'Mon Entreprise'!I148)</f>
        <v>NC</v>
      </c>
      <c r="Z602" s="191"/>
      <c r="AA602" s="192"/>
      <c r="AB602" s="143" t="str">
        <f>IFERROR(IF('Mon Entreprise'!I148-'Mon Entreprise'!M136&lt;0,0,'Mon Entreprise'!I148-'Mon Entreprise'!M136),"NC")</f>
        <v>NC</v>
      </c>
      <c r="AC602" s="193"/>
      <c r="AD602" s="139"/>
      <c r="AE602" s="146" t="str">
        <f>IFERROR(1-'Mon Entreprise'!M136/'Mon Entreprise'!I148,"NC")</f>
        <v>NC</v>
      </c>
    </row>
    <row r="603" spans="2:31" ht="15.75" customHeight="1">
      <c r="B603" s="103"/>
      <c r="C603" s="357"/>
      <c r="D603" s="495"/>
      <c r="E603" s="496"/>
      <c r="F603" s="496"/>
      <c r="G603" s="496"/>
      <c r="H603" s="496"/>
      <c r="I603" s="496"/>
      <c r="J603" s="496"/>
      <c r="K603" s="496"/>
      <c r="L603" s="496"/>
      <c r="M603" s="496"/>
      <c r="N603" s="496"/>
      <c r="O603" s="497"/>
      <c r="P603" s="1"/>
      <c r="T603" s="359"/>
      <c r="U603" s="360"/>
      <c r="V603" s="360"/>
      <c r="W603" s="360"/>
      <c r="X603" s="139"/>
      <c r="Y603" s="140"/>
      <c r="Z603" s="141"/>
      <c r="AA603" s="192"/>
      <c r="AB603" s="143"/>
      <c r="AC603" s="360"/>
      <c r="AD603" s="139"/>
      <c r="AE603" s="146"/>
    </row>
    <row r="604" spans="2:31" ht="15.75" customHeight="1">
      <c r="B604" s="103"/>
      <c r="C604" s="357"/>
      <c r="D604" s="495"/>
      <c r="E604" s="496"/>
      <c r="F604" s="496"/>
      <c r="G604" s="496"/>
      <c r="H604" s="496"/>
      <c r="I604" s="496"/>
      <c r="J604" s="496"/>
      <c r="K604" s="496"/>
      <c r="L604" s="496"/>
      <c r="M604" s="496"/>
      <c r="N604" s="496"/>
      <c r="O604" s="497"/>
      <c r="P604" s="1"/>
      <c r="T604" s="14"/>
      <c r="U604" s="1"/>
      <c r="V604" s="1"/>
      <c r="W604" s="1"/>
      <c r="X604" s="1"/>
      <c r="Y604" s="1"/>
      <c r="Z604" s="1"/>
      <c r="AA604" s="1"/>
      <c r="AB604" s="1"/>
      <c r="AC604" s="1"/>
      <c r="AD604" s="1"/>
      <c r="AE604" s="13"/>
    </row>
    <row r="605" spans="2:31" ht="15.75" customHeight="1">
      <c r="B605" s="103"/>
      <c r="C605" s="357"/>
      <c r="D605" s="495"/>
      <c r="E605" s="496"/>
      <c r="F605" s="496"/>
      <c r="G605" s="496"/>
      <c r="H605" s="496"/>
      <c r="I605" s="496"/>
      <c r="J605" s="496"/>
      <c r="K605" s="496"/>
      <c r="L605" s="496"/>
      <c r="M605" s="496"/>
      <c r="N605" s="496"/>
      <c r="O605" s="497"/>
      <c r="P605" s="1"/>
      <c r="T605" s="14"/>
      <c r="AC605" s="1"/>
      <c r="AD605" s="1"/>
      <c r="AE605" s="13"/>
    </row>
    <row r="606" spans="2:31" ht="15.75" customHeight="1" thickBot="1">
      <c r="B606" s="103"/>
      <c r="C606" s="357"/>
      <c r="D606" s="498"/>
      <c r="E606" s="499"/>
      <c r="F606" s="499"/>
      <c r="G606" s="499"/>
      <c r="H606" s="499"/>
      <c r="I606" s="499"/>
      <c r="J606" s="499"/>
      <c r="K606" s="499"/>
      <c r="L606" s="499"/>
      <c r="M606" s="499"/>
      <c r="N606" s="499"/>
      <c r="O606" s="500"/>
      <c r="P606" s="1"/>
      <c r="T606" s="14"/>
      <c r="AC606" s="1"/>
      <c r="AD606" s="1"/>
      <c r="AE606" s="13"/>
    </row>
    <row r="607" spans="2:31" ht="16.5" customHeight="1">
      <c r="B607" s="103"/>
      <c r="C607" s="357"/>
      <c r="D607" s="503" t="s">
        <v>498</v>
      </c>
      <c r="E607" s="503"/>
      <c r="F607" s="503"/>
      <c r="G607" s="503"/>
      <c r="H607" s="503"/>
      <c r="I607" s="503"/>
      <c r="J607" s="503"/>
      <c r="K607" s="503"/>
      <c r="L607" s="503"/>
      <c r="M607" s="503"/>
      <c r="N607" s="503"/>
      <c r="O607" s="503"/>
      <c r="P607" s="1"/>
      <c r="T607" s="14"/>
      <c r="AC607" s="1"/>
      <c r="AD607" s="1"/>
      <c r="AE607" s="13"/>
    </row>
    <row r="608" spans="2:31" ht="16.5" customHeight="1">
      <c r="B608" s="103"/>
      <c r="C608" s="357"/>
      <c r="D608" s="504"/>
      <c r="E608" s="504"/>
      <c r="F608" s="504"/>
      <c r="G608" s="504"/>
      <c r="H608" s="504"/>
      <c r="I608" s="504"/>
      <c r="J608" s="504"/>
      <c r="K608" s="504"/>
      <c r="L608" s="504"/>
      <c r="M608" s="504"/>
      <c r="N608" s="504"/>
      <c r="O608" s="504"/>
      <c r="P608" s="1"/>
      <c r="T608" s="14"/>
      <c r="AC608" s="1"/>
      <c r="AD608" s="1"/>
      <c r="AE608" s="13"/>
    </row>
    <row r="609" spans="2:31" ht="15.75" hidden="1">
      <c r="B609" s="103"/>
      <c r="C609" s="78"/>
      <c r="D609" s="78"/>
      <c r="E609" s="78"/>
      <c r="F609" s="78"/>
      <c r="G609" s="78"/>
      <c r="H609" s="78"/>
      <c r="I609" s="78"/>
      <c r="J609" s="78"/>
      <c r="K609" s="78"/>
      <c r="L609" s="78"/>
      <c r="M609" s="78"/>
      <c r="N609" s="78"/>
      <c r="O609" s="78"/>
      <c r="P609" s="1"/>
      <c r="T609" s="14"/>
      <c r="U609" s="1"/>
      <c r="V609" s="1"/>
      <c r="W609" s="1"/>
      <c r="X609" s="1"/>
      <c r="Y609" s="1"/>
      <c r="Z609" s="1"/>
      <c r="AA609" s="1"/>
      <c r="AB609" s="1"/>
      <c r="AC609" s="1"/>
      <c r="AD609" s="1"/>
      <c r="AE609" s="13"/>
    </row>
    <row r="610" spans="2:31" ht="15.75" hidden="1">
      <c r="B610" s="103"/>
      <c r="C610" s="357"/>
      <c r="D610" s="60"/>
      <c r="E610" s="357"/>
      <c r="F610" s="357"/>
      <c r="G610" s="357"/>
      <c r="H610" s="357"/>
      <c r="I610" s="357"/>
      <c r="J610" s="357"/>
      <c r="K610" s="357"/>
      <c r="L610" s="357"/>
      <c r="M610" s="357"/>
      <c r="N610" s="357"/>
      <c r="O610" s="357"/>
      <c r="P610" s="1"/>
      <c r="T610" s="14"/>
      <c r="U610" s="1"/>
      <c r="V610" s="1"/>
      <c r="W610" s="1"/>
      <c r="X610" s="1"/>
      <c r="Y610" s="1"/>
      <c r="Z610" s="1"/>
      <c r="AA610" s="1"/>
      <c r="AB610" s="1"/>
      <c r="AC610" s="1"/>
      <c r="AD610" s="1"/>
      <c r="AE610" s="13"/>
    </row>
    <row r="611" spans="2:31" ht="15.75" hidden="1">
      <c r="B611" s="103"/>
      <c r="C611" s="505" t="s">
        <v>510</v>
      </c>
      <c r="D611" s="505"/>
      <c r="E611" s="505"/>
      <c r="F611" s="505"/>
      <c r="G611" s="505"/>
      <c r="H611" s="505"/>
      <c r="I611" s="505"/>
      <c r="J611" s="505"/>
      <c r="K611" s="505"/>
      <c r="L611" s="505"/>
      <c r="M611" s="505"/>
      <c r="N611" s="505"/>
      <c r="O611" s="505"/>
      <c r="P611" s="1"/>
      <c r="T611" s="14"/>
      <c r="U611" s="1"/>
      <c r="V611" s="1"/>
      <c r="W611" s="1"/>
      <c r="X611" s="1"/>
      <c r="Y611" s="1"/>
      <c r="Z611" s="1"/>
      <c r="AA611" s="1"/>
      <c r="AB611" s="1"/>
      <c r="AC611" s="1"/>
      <c r="AD611" s="1"/>
      <c r="AE611" s="13"/>
    </row>
    <row r="612" spans="2:31" ht="15.75" hidden="1">
      <c r="B612" s="103"/>
      <c r="C612" s="505"/>
      <c r="D612" s="505"/>
      <c r="E612" s="505"/>
      <c r="F612" s="505"/>
      <c r="G612" s="505"/>
      <c r="H612" s="505"/>
      <c r="I612" s="505"/>
      <c r="J612" s="505"/>
      <c r="K612" s="505"/>
      <c r="L612" s="505"/>
      <c r="M612" s="505"/>
      <c r="N612" s="505"/>
      <c r="O612" s="505"/>
      <c r="P612" s="1"/>
      <c r="T612" s="14"/>
      <c r="U612" s="506" t="s">
        <v>72</v>
      </c>
      <c r="V612" s="506"/>
      <c r="W612" s="506"/>
      <c r="X612" s="506"/>
      <c r="Y612" s="506"/>
      <c r="Z612" s="1"/>
      <c r="AA612" s="14"/>
      <c r="AB612" s="360" t="str">
        <f>IF('Mon Entreprise'!K8&lt;=Annexes!R15,"Oui","Non")</f>
        <v>Oui</v>
      </c>
      <c r="AC612" s="1"/>
      <c r="AD612" s="1"/>
      <c r="AE612" s="13"/>
    </row>
    <row r="613" spans="2:31" ht="15.75" hidden="1">
      <c r="B613" s="168"/>
      <c r="C613" s="357"/>
      <c r="D613" s="60" t="str">
        <f>IFERROR(IF('Mon Entreprise'!K8&gt;=Annexes!O20,IF(AB600&gt;=AB602,"Le CA de référence est celui d'Août 2019, soit une perte de "&amp;ROUND(AB600,0)&amp;" €"&amp;" ==&gt; "&amp;ROUND(AE600*100,0)&amp;" %","Le CA de référence est celui de la création, soit une perte de "&amp;ROUND(AB602,0)&amp;" €"&amp;" ==&gt; "&amp;ROUND(AE602*100,0)&amp;" %"),IF(AB600&gt;=AB601,"Le CA de référence est celui d'Août 2019, soit une perte de "&amp;ROUND(AB600,0)&amp;" €"&amp;" ==&gt; "&amp;ROUND(AE600*100,0)&amp;" %","Le CA de référence est celui de l'exercice 2019, soit une perte de "&amp;ROUND(AB601,0)&amp;" €"&amp;" ==&gt; "&amp;ROUND(AE601*100,0)&amp;" %")),"")</f>
        <v>Le CA de référence est celui d'Août 2019, soit une perte de 0 € ==&gt; 0 %</v>
      </c>
      <c r="E613" s="357"/>
      <c r="F613" s="357"/>
      <c r="G613" s="357"/>
      <c r="H613" s="357"/>
      <c r="I613" s="357"/>
      <c r="J613" s="357"/>
      <c r="K613" s="357"/>
      <c r="L613" s="357"/>
      <c r="M613" s="357"/>
      <c r="N613" s="357"/>
      <c r="O613" s="357"/>
      <c r="P613" s="1"/>
      <c r="T613" s="14"/>
      <c r="U613" s="361"/>
      <c r="V613" s="506" t="s">
        <v>393</v>
      </c>
      <c r="W613" s="506"/>
      <c r="X613" s="506"/>
      <c r="Y613" s="506"/>
      <c r="Z613" s="1"/>
      <c r="AA613" s="14"/>
      <c r="AB613" s="360">
        <f>IF('Mon Entreprise'!K8&gt;=Annexes!O20,IF(Y600&gt;=Y602,Y600,Y602),IF(Y600&gt;=Y601,Y600,Y601))</f>
        <v>0</v>
      </c>
      <c r="AC613" s="1"/>
      <c r="AD613" s="1"/>
      <c r="AE613" s="13"/>
    </row>
    <row r="614" spans="2:31" ht="15.75" hidden="1" customHeight="1">
      <c r="B614" s="168"/>
      <c r="C614" s="357"/>
      <c r="D614" s="507" t="str">
        <f>IFERROR(IF('Mon Entreprise'!K8&gt;=Annexes!O20,"",IF(AB600&lt;AB601,"A noter qu'il convient de choisir l'option retenue par l'entreprise lors de sa demande au titre du mois Février 2021, ou a défaut celui du mois de Mars, d'Avril, Mai, Juin, Juillet 2021, si le CA de référence était celui de février 2019 (...),"&amp;" il convient de prendre"&amp;" celui d'Août 2019, soit "&amp;ROUND(AB600,0)&amp;" €"&amp;" ==&gt; "&amp;ROUND(AE600*100,0)&amp;" %","A noter qu'il convient de choisir l'option retenue par l'entreprise lors de sa demande au titre du mois Février 2021, ou "&amp;"a défaut celui du mois de Mars, d'Avril, Mai, Juin ou Juillet 2021, si"&amp;" le CA de référence était celui de l'exercice 2019, il convient de prendre celui de l'exercie 2019, soit une perte de "&amp;ROUND(AB601,0)&amp;" €"&amp;" ==&gt; "&amp;ROUND(AE601*100,0)&amp;" %")),"")</f>
        <v>A noter qu'il convient de choisir l'option retenue par l'entreprise lors de sa demande au titre du mois Février 2021, ou a défaut celui du mois de Mars, d'Avril, Mai, Juin ou Juillet 2021, si le CA de référence était celui de l'exercice 2019, il convient de prendre celui de l'exercie 2019, soit une perte de 0 € ==&gt; 0 %</v>
      </c>
      <c r="E614" s="507"/>
      <c r="F614" s="507"/>
      <c r="G614" s="507"/>
      <c r="H614" s="507"/>
      <c r="I614" s="507"/>
      <c r="J614" s="507"/>
      <c r="K614" s="507"/>
      <c r="L614" s="507"/>
      <c r="M614" s="507"/>
      <c r="N614" s="507"/>
      <c r="O614" s="507"/>
      <c r="P614" s="1"/>
      <c r="T614" s="14"/>
      <c r="U614" s="506" t="s">
        <v>84</v>
      </c>
      <c r="V614" s="506"/>
      <c r="W614" s="506"/>
      <c r="X614" s="506"/>
      <c r="Y614" s="506"/>
      <c r="Z614" s="1"/>
      <c r="AA614" s="14"/>
      <c r="AB614" s="358">
        <f>IF('Mon Entreprise'!K8&gt;=Annexes!O20,IF(AB600&gt;=AB602,AB600,AB602),IF(AB600&gt;=AB601,AB600,AB601))</f>
        <v>0</v>
      </c>
      <c r="AC614" s="1"/>
      <c r="AD614" s="1"/>
      <c r="AE614" s="13"/>
    </row>
    <row r="615" spans="2:31" ht="15.75" hidden="1">
      <c r="B615" s="168"/>
      <c r="C615" s="357"/>
      <c r="D615" s="507"/>
      <c r="E615" s="507"/>
      <c r="F615" s="507"/>
      <c r="G615" s="507"/>
      <c r="H615" s="507"/>
      <c r="I615" s="507"/>
      <c r="J615" s="507"/>
      <c r="K615" s="507"/>
      <c r="L615" s="507"/>
      <c r="M615" s="507"/>
      <c r="N615" s="507"/>
      <c r="O615" s="507"/>
      <c r="P615" s="1"/>
      <c r="T615" s="14"/>
      <c r="U615" s="506" t="s">
        <v>85</v>
      </c>
      <c r="V615" s="506"/>
      <c r="W615" s="506"/>
      <c r="X615" s="506"/>
      <c r="Y615" s="506"/>
      <c r="Z615" s="1"/>
      <c r="AA615" s="14"/>
      <c r="AB615" s="19">
        <f>IF('Mon Entreprise'!K8&gt;=Annexes!O20,IF(AB600&gt;=AB602,AE600,AE602),IF(AB600&gt;=AB601,AE600,AE601))</f>
        <v>0</v>
      </c>
      <c r="AC615" s="1"/>
      <c r="AD615" s="1"/>
      <c r="AE615" s="13"/>
    </row>
    <row r="616" spans="2:31" ht="15.75" hidden="1">
      <c r="B616" s="168"/>
      <c r="C616" s="357"/>
      <c r="D616" s="507"/>
      <c r="E616" s="507"/>
      <c r="F616" s="507"/>
      <c r="G616" s="507"/>
      <c r="H616" s="507"/>
      <c r="I616" s="507"/>
      <c r="J616" s="507"/>
      <c r="K616" s="507"/>
      <c r="L616" s="507"/>
      <c r="M616" s="507"/>
      <c r="N616" s="507"/>
      <c r="O616" s="507"/>
      <c r="P616" s="1"/>
      <c r="T616" s="14"/>
      <c r="U616" s="361"/>
      <c r="V616" s="361"/>
      <c r="W616" s="361"/>
      <c r="X616" s="361"/>
      <c r="Y616" s="361"/>
      <c r="Z616" s="1"/>
      <c r="AA616" s="1"/>
      <c r="AB616" s="19"/>
      <c r="AC616" s="1"/>
      <c r="AD616" s="1"/>
      <c r="AE616" s="13"/>
    </row>
    <row r="617" spans="2:31" ht="16.5" hidden="1" thickBot="1">
      <c r="B617" s="103"/>
      <c r="C617" s="357"/>
      <c r="D617" s="60" t="s">
        <v>7</v>
      </c>
      <c r="E617" s="357"/>
      <c r="F617" s="357"/>
      <c r="G617" s="357"/>
      <c r="H617" s="357"/>
      <c r="I617" s="357"/>
      <c r="J617" s="357"/>
      <c r="K617" s="357"/>
      <c r="L617" s="357"/>
      <c r="M617" s="357"/>
      <c r="N617" s="357"/>
      <c r="O617" s="357"/>
      <c r="P617" s="1"/>
      <c r="T617" s="14"/>
      <c r="U617" s="1"/>
      <c r="V617" s="1"/>
      <c r="W617" s="1"/>
      <c r="X617" s="1"/>
      <c r="Y617" s="1"/>
      <c r="Z617" s="1"/>
      <c r="AA617" s="1"/>
      <c r="AB617" s="1"/>
      <c r="AC617" s="1"/>
      <c r="AD617" s="1"/>
      <c r="AE617" s="13"/>
    </row>
    <row r="618" spans="2:31" ht="15.75" hidden="1">
      <c r="B618" s="168"/>
      <c r="C618" s="357"/>
      <c r="D618" s="508" t="str">
        <f>IFERROR(IF(AB612="Non","Vous avez débuté votre activité après le 31 Janvier 2020, vous ne pouvez donc pas bénéficier de cette aide",IF(AND(AB631=TRUE,AB615&gt;=0.2),IF(AB614&gt;Annexes!O5,"Dans votre cas, l'aide est Plafonnée, à "&amp;Annexes!O5&amp;" € pour le mois d'Août","Vous pouvez bénéficier, au titre de cette aide, d'un montant de "&amp;ROUND(AB614,0)&amp;" € pour le mois d'Août"),"L'entreprise n'a pas une perte d'au moins 20 % en Août 2021 ou n'a pas été en fermeture Administrative au moins 8 Jours")),"Vous n'avez pas indiqué de chiffre d'affaires de référence")</f>
        <v>L'entreprise n'a pas une perte d'au moins 20 % en Août 2021 ou n'a pas été en fermeture Administrative au moins 8 Jours</v>
      </c>
      <c r="E618" s="509"/>
      <c r="F618" s="509"/>
      <c r="G618" s="509"/>
      <c r="H618" s="509"/>
      <c r="I618" s="509"/>
      <c r="J618" s="509"/>
      <c r="K618" s="509"/>
      <c r="L618" s="509"/>
      <c r="M618" s="509"/>
      <c r="N618" s="509"/>
      <c r="O618" s="510"/>
      <c r="P618" s="1"/>
      <c r="T618" s="14"/>
      <c r="U618" s="1"/>
      <c r="V618" s="1"/>
      <c r="W618" s="1"/>
      <c r="X618" s="1"/>
      <c r="Y618" s="1"/>
      <c r="Z618" s="1"/>
      <c r="AA618" s="1"/>
      <c r="AB618" s="1"/>
      <c r="AC618" s="1"/>
      <c r="AD618" s="1"/>
      <c r="AE618" s="13"/>
    </row>
    <row r="619" spans="2:31" ht="15.75" hidden="1" customHeight="1">
      <c r="B619" s="168"/>
      <c r="C619" s="357"/>
      <c r="D619" s="511"/>
      <c r="E619" s="512"/>
      <c r="F619" s="512"/>
      <c r="G619" s="512"/>
      <c r="H619" s="512"/>
      <c r="I619" s="512"/>
      <c r="J619" s="512"/>
      <c r="K619" s="512"/>
      <c r="L619" s="512"/>
      <c r="M619" s="512"/>
      <c r="N619" s="512"/>
      <c r="O619" s="513"/>
      <c r="P619" s="1"/>
      <c r="T619" s="14"/>
      <c r="U619" s="1"/>
      <c r="V619" s="1"/>
      <c r="W619" s="1"/>
      <c r="X619" s="1"/>
      <c r="Y619" s="1"/>
      <c r="Z619" s="1"/>
      <c r="AA619" s="1"/>
      <c r="AB619" s="1"/>
      <c r="AC619" s="1"/>
      <c r="AD619" s="1"/>
      <c r="AE619" s="13"/>
    </row>
    <row r="620" spans="2:31" ht="15.75" hidden="1" customHeight="1">
      <c r="B620" s="103"/>
      <c r="C620" s="357"/>
      <c r="D620" s="511"/>
      <c r="E620" s="512"/>
      <c r="F620" s="512"/>
      <c r="G620" s="512"/>
      <c r="H620" s="512"/>
      <c r="I620" s="512"/>
      <c r="J620" s="512"/>
      <c r="K620" s="512"/>
      <c r="L620" s="512"/>
      <c r="M620" s="512"/>
      <c r="N620" s="512"/>
      <c r="O620" s="513"/>
      <c r="P620" s="1"/>
      <c r="T620" s="14"/>
      <c r="U620" s="1"/>
      <c r="V620" s="1"/>
      <c r="W620" s="1"/>
      <c r="X620" s="1"/>
      <c r="Y620" s="1"/>
      <c r="Z620" s="1"/>
      <c r="AA620" s="1"/>
      <c r="AB620" s="1"/>
      <c r="AC620" s="1"/>
      <c r="AD620" s="1"/>
      <c r="AE620" s="13"/>
    </row>
    <row r="621" spans="2:31" ht="15.75" hidden="1" customHeight="1" thickBot="1">
      <c r="B621" s="103"/>
      <c r="C621" s="357"/>
      <c r="D621" s="514"/>
      <c r="E621" s="515"/>
      <c r="F621" s="515"/>
      <c r="G621" s="515"/>
      <c r="H621" s="515"/>
      <c r="I621" s="515"/>
      <c r="J621" s="515"/>
      <c r="K621" s="515"/>
      <c r="L621" s="515"/>
      <c r="M621" s="515"/>
      <c r="N621" s="515"/>
      <c r="O621" s="516"/>
      <c r="P621" s="1"/>
      <c r="T621" s="14"/>
      <c r="U621" s="1"/>
      <c r="V621" s="1"/>
      <c r="W621" s="1"/>
      <c r="X621" s="1"/>
      <c r="Y621" s="1"/>
      <c r="Z621" s="1"/>
      <c r="AA621" s="1"/>
      <c r="AB621" s="1"/>
      <c r="AC621" s="1"/>
      <c r="AD621" s="1"/>
      <c r="AE621" s="13"/>
    </row>
    <row r="622" spans="2:31" ht="16.5" hidden="1" customHeight="1">
      <c r="B622" s="103"/>
      <c r="C622" s="169"/>
      <c r="D622" s="517"/>
      <c r="E622" s="517"/>
      <c r="F622" s="517"/>
      <c r="G622" s="517"/>
      <c r="H622" s="517"/>
      <c r="I622" s="517"/>
      <c r="J622" s="517"/>
      <c r="K622" s="517"/>
      <c r="L622" s="517"/>
      <c r="M622" s="517"/>
      <c r="N622" s="517"/>
      <c r="O622" s="517"/>
      <c r="P622" s="1"/>
      <c r="T622" s="518" t="s">
        <v>4</v>
      </c>
      <c r="U622" s="519"/>
      <c r="V622" s="519"/>
      <c r="W622" s="519"/>
      <c r="X622" s="519"/>
      <c r="Y622" s="519"/>
      <c r="Z622" s="139"/>
      <c r="AA622" s="145"/>
      <c r="AB622" s="194">
        <f>IFERROR(IF('Mon Entreprise'!K8&gt;=Annexes!Q18,0,1-'Mon Entreprise'!M118/2/AB613),0)</f>
        <v>0</v>
      </c>
      <c r="AC622" s="1"/>
      <c r="AD622" s="1"/>
      <c r="AE622" s="13"/>
    </row>
    <row r="623" spans="2:31" ht="16.5" hidden="1" customHeight="1">
      <c r="B623" s="103"/>
      <c r="C623" s="357"/>
      <c r="D623" s="306"/>
      <c r="E623" s="306"/>
      <c r="F623" s="306"/>
      <c r="G623" s="306"/>
      <c r="H623" s="306"/>
      <c r="I623" s="306"/>
      <c r="J623" s="306"/>
      <c r="K623" s="306"/>
      <c r="L623" s="306"/>
      <c r="M623" s="306"/>
      <c r="N623" s="306"/>
      <c r="O623" s="306"/>
      <c r="P623" s="1"/>
      <c r="T623" s="110"/>
      <c r="U623" s="520" t="s">
        <v>102</v>
      </c>
      <c r="V623" s="520"/>
      <c r="W623" s="520"/>
      <c r="X623" s="520"/>
      <c r="Y623" s="520"/>
      <c r="Z623" s="139"/>
      <c r="AA623" s="145"/>
      <c r="AB623" s="194">
        <f>IFERROR(IF('Mon Entreprise'!K8&gt;Annexes!Q29,0,IF('Mon Entreprise'!K8&gt;Annexes!Q26,1,1-'Mon Entreprise'!M114/AB613)),0)</f>
        <v>0</v>
      </c>
      <c r="AC623" s="1"/>
      <c r="AD623" s="1"/>
      <c r="AE623" s="13"/>
    </row>
    <row r="624" spans="2:31" ht="16.5" hidden="1" customHeight="1">
      <c r="B624" s="103"/>
      <c r="C624" s="505" t="s">
        <v>512</v>
      </c>
      <c r="D624" s="505"/>
      <c r="E624" s="505"/>
      <c r="F624" s="505"/>
      <c r="G624" s="505"/>
      <c r="H624" s="505"/>
      <c r="I624" s="505"/>
      <c r="J624" s="505"/>
      <c r="K624" s="505"/>
      <c r="L624" s="505"/>
      <c r="M624" s="505"/>
      <c r="N624" s="505"/>
      <c r="O624" s="505"/>
      <c r="P624" s="1"/>
      <c r="T624" s="110"/>
      <c r="U624" s="520" t="s">
        <v>109</v>
      </c>
      <c r="V624" s="520"/>
      <c r="W624" s="520"/>
      <c r="X624" s="520"/>
      <c r="Y624" s="520"/>
      <c r="Z624" s="139"/>
      <c r="AA624" s="145"/>
      <c r="AB624" s="194">
        <f>IFERROR(IF(Annexes!O27&gt;'Mon Entreprise'!K8,1-'Mon Entreprise'!M98/'Mon Entreprise'!I98,0),0)</f>
        <v>0</v>
      </c>
      <c r="AC624" s="1"/>
      <c r="AD624" s="1"/>
      <c r="AE624" s="13"/>
    </row>
    <row r="625" spans="1:31" ht="16.5" hidden="1" customHeight="1">
      <c r="B625" s="103"/>
      <c r="C625" s="505"/>
      <c r="D625" s="505"/>
      <c r="E625" s="505"/>
      <c r="F625" s="505"/>
      <c r="G625" s="505"/>
      <c r="H625" s="505"/>
      <c r="I625" s="505"/>
      <c r="J625" s="505"/>
      <c r="K625" s="505"/>
      <c r="L625" s="505"/>
      <c r="M625" s="505"/>
      <c r="N625" s="505"/>
      <c r="O625" s="505"/>
      <c r="P625" s="1"/>
      <c r="T625" s="110"/>
      <c r="U625" s="368"/>
      <c r="V625" s="368"/>
      <c r="W625" s="368"/>
      <c r="X625" s="368"/>
      <c r="Y625" s="368"/>
      <c r="Z625" s="139"/>
      <c r="AA625" s="145"/>
      <c r="AB625" s="194"/>
      <c r="AC625" s="1"/>
      <c r="AD625" s="1"/>
      <c r="AE625" s="13"/>
    </row>
    <row r="626" spans="1:31" ht="16.5" hidden="1" customHeight="1">
      <c r="B626" s="103"/>
      <c r="C626" s="505"/>
      <c r="D626" s="505"/>
      <c r="E626" s="505"/>
      <c r="F626" s="505"/>
      <c r="G626" s="505"/>
      <c r="H626" s="505"/>
      <c r="I626" s="505"/>
      <c r="J626" s="505"/>
      <c r="K626" s="505"/>
      <c r="L626" s="505"/>
      <c r="M626" s="505"/>
      <c r="N626" s="505"/>
      <c r="O626" s="505"/>
      <c r="P626" s="1"/>
      <c r="T626" s="110"/>
      <c r="U626" s="362"/>
      <c r="V626" s="362"/>
      <c r="W626" s="362"/>
      <c r="X626" s="362"/>
      <c r="Y626" s="362"/>
      <c r="Z626" s="139"/>
      <c r="AA626" s="145"/>
      <c r="AB626" s="194"/>
      <c r="AC626" s="1"/>
      <c r="AD626" s="1"/>
      <c r="AE626" s="13"/>
    </row>
    <row r="627" spans="1:31" ht="16.5" hidden="1" customHeight="1">
      <c r="B627" s="103"/>
      <c r="C627" s="505"/>
      <c r="D627" s="505"/>
      <c r="E627" s="505"/>
      <c r="F627" s="505"/>
      <c r="G627" s="505"/>
      <c r="H627" s="505"/>
      <c r="I627" s="505"/>
      <c r="J627" s="505"/>
      <c r="K627" s="505"/>
      <c r="L627" s="505"/>
      <c r="M627" s="505"/>
      <c r="N627" s="505"/>
      <c r="O627" s="505"/>
      <c r="P627" s="1"/>
      <c r="T627" s="14"/>
      <c r="U627" s="521" t="s">
        <v>8</v>
      </c>
      <c r="V627" s="521"/>
      <c r="W627" s="521"/>
      <c r="X627" s="521"/>
      <c r="Y627" s="521"/>
      <c r="Z627" s="1"/>
      <c r="AA627" s="14"/>
      <c r="AB627" s="358" t="str">
        <f>IF((AND(Annexes!F5&gt;1,Annexes!F5&lt;=Annexes!H6,AB634&gt;=0.1)),"OUI","NON")</f>
        <v>NON</v>
      </c>
      <c r="AC627" s="1"/>
      <c r="AD627" s="1"/>
      <c r="AE627" s="13"/>
    </row>
    <row r="628" spans="1:31" ht="22.5" hidden="1" customHeight="1">
      <c r="B628" s="103"/>
      <c r="D628" s="564" t="s">
        <v>513</v>
      </c>
      <c r="E628" s="564"/>
      <c r="F628" s="564"/>
      <c r="G628" s="564"/>
      <c r="H628" s="564"/>
      <c r="I628" s="564"/>
      <c r="J628" s="564"/>
      <c r="K628" s="564"/>
      <c r="L628" s="564"/>
      <c r="M628" s="564"/>
      <c r="N628" s="564"/>
      <c r="O628" s="564"/>
      <c r="P628" s="1"/>
      <c r="T628" s="14"/>
      <c r="U628" s="363"/>
      <c r="V628" s="363"/>
      <c r="W628" s="363"/>
      <c r="X628" s="363"/>
      <c r="Y628" s="363" t="s">
        <v>9</v>
      </c>
      <c r="Z628" s="1"/>
      <c r="AA628" s="14"/>
      <c r="AB628" s="358" t="str">
        <f>IF(AND(Annexes!F7&gt;1,Annexes!F7&lt;=Annexes!H8,AB634&gt;=0.1),"OUI","NON")</f>
        <v>NON</v>
      </c>
      <c r="AC628" s="1"/>
      <c r="AD628" s="1"/>
      <c r="AE628" s="13"/>
    </row>
    <row r="629" spans="1:31" ht="16.5" hidden="1" customHeight="1">
      <c r="B629" s="103"/>
      <c r="C629" s="357"/>
      <c r="D629" s="306"/>
      <c r="E629" s="522" t="str">
        <f>IF(AB632="NON","",IF(OR(AB627="OUI",AB629="OUI",AND(AB628="OUI",OR(AB622&gt;=Annexes!P5,AB623&gt;=Annexes!P5,'Mes Aides'!AB145&gt;=0.1))),"",IF(AND(AB628="OUI",OR(AB622&lt;Annexes!P5,AB623&lt;Annexes!P5,'Mes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629" s="522"/>
      <c r="G629" s="522"/>
      <c r="H629" s="522"/>
      <c r="I629" s="522"/>
      <c r="J629" s="522"/>
      <c r="K629" s="522"/>
      <c r="L629" s="522"/>
      <c r="M629" s="522"/>
      <c r="N629" s="522"/>
      <c r="O629" s="522"/>
      <c r="P629" s="1"/>
      <c r="T629" s="491" t="s">
        <v>474</v>
      </c>
      <c r="U629" s="490"/>
      <c r="V629" s="490"/>
      <c r="W629" s="490"/>
      <c r="X629" s="490"/>
      <c r="Y629" s="490"/>
      <c r="Z629" s="1"/>
      <c r="AA629" s="14"/>
      <c r="AB629" s="358" t="str">
        <f>IF(AND(Annexes!M24=TRUE,AB634&gt;=0.1),"OUI","NON")</f>
        <v>NON</v>
      </c>
      <c r="AC629" s="1"/>
      <c r="AD629" s="1"/>
      <c r="AE629" s="13"/>
    </row>
    <row r="630" spans="1:31" ht="16.5" hidden="1" customHeight="1">
      <c r="B630" s="103"/>
      <c r="C630" s="357"/>
      <c r="D630" s="306"/>
      <c r="E630" s="522"/>
      <c r="F630" s="522"/>
      <c r="G630" s="522"/>
      <c r="H630" s="522"/>
      <c r="I630" s="522"/>
      <c r="J630" s="522"/>
      <c r="K630" s="522"/>
      <c r="L630" s="522"/>
      <c r="M630" s="522"/>
      <c r="N630" s="522"/>
      <c r="O630" s="522"/>
      <c r="P630" s="1"/>
      <c r="T630" s="491" t="s">
        <v>509</v>
      </c>
      <c r="U630" s="490"/>
      <c r="V630" s="490"/>
      <c r="W630" s="490"/>
      <c r="X630" s="490"/>
      <c r="Y630" s="490"/>
      <c r="Z630" s="1"/>
      <c r="AA630" s="14"/>
      <c r="AB630" s="358" t="b">
        <f>IF(OR(AND(Annexes!M41=TRUE,AB634&gt;=0.2),AND(Annexes!M42=TRUE,AB634&gt;=0.5)),TRUE,FALSE)</f>
        <v>0</v>
      </c>
      <c r="AC630" s="1"/>
      <c r="AD630" s="1"/>
      <c r="AE630" s="13"/>
    </row>
    <row r="631" spans="1:31" ht="16.5" hidden="1" customHeight="1">
      <c r="A631" s="99"/>
      <c r="B631" s="103"/>
      <c r="C631" s="357"/>
      <c r="D631" s="523" t="str">
        <f>IFERROR(IF('Mon Entreprise'!K8&gt;=Annexes!O20,IF(AB600&gt;=AB602,"- Le CA de référence est celui d'Août 2019, soit une perte de "&amp;ROUND(AB600,0)&amp;" €"&amp;" ==&gt; "&amp;ROUND(AE600*100,0)&amp;" %","- Le CA de référence est celui de la création, soit une perte de "&amp;ROUND(AB602,0)&amp;" €"&amp;" ==&gt; "&amp;ROUND(AE602*100,0)&amp;" %"),IF(AB600&gt;=AB601,"- Le CA de référence est celui d'Août 2019, soit une perte de "&amp;ROUND(AB600,0)&amp;" €"&amp;" ==&gt; "&amp;ROUND(AE600*100,0)&amp;" %","- Le CA de référence est celui de l'exercice 2019, soit une perte de "&amp;ROUND(AB601,0)&amp;" €"&amp;" ==&gt; "&amp;ROUND(AE601*100,0)&amp;" %")),"")</f>
        <v>- Le CA de référence est celui d'Août 2019, soit une perte de 0 € ==&gt; 0 %</v>
      </c>
      <c r="E631" s="523"/>
      <c r="F631" s="523"/>
      <c r="G631" s="523"/>
      <c r="H631" s="523"/>
      <c r="I631" s="523"/>
      <c r="J631" s="523"/>
      <c r="K631" s="523"/>
      <c r="L631" s="523"/>
      <c r="M631" s="523"/>
      <c r="N631" s="523"/>
      <c r="O631" s="523"/>
      <c r="P631" s="1"/>
      <c r="T631" s="14"/>
      <c r="U631" s="358"/>
      <c r="V631" s="358"/>
      <c r="W631" s="358"/>
      <c r="X631" s="358"/>
      <c r="Y631" s="358" t="s">
        <v>505</v>
      </c>
      <c r="Z631" s="1"/>
      <c r="AA631" s="14"/>
      <c r="AB631" s="358" t="b">
        <f>IF(AND(Annexes!M43=TRUE,AB634&gt;=0.2),TRUE,FALSE)</f>
        <v>0</v>
      </c>
      <c r="AC631" s="1"/>
      <c r="AD631" s="1"/>
      <c r="AE631" s="13"/>
    </row>
    <row r="632" spans="1:31" ht="16.5" hidden="1" customHeight="1">
      <c r="A632" s="99"/>
      <c r="B632" s="103"/>
      <c r="C632" s="357"/>
      <c r="D632" s="524" t="str">
        <f>IFERROR(IF('Mon Entreprise'!K8&gt;=Annexes!O20,"",IF(AB600&lt;AB601,"A noter qu'il convient de choisir l'option retenue par l'entreprise lors de sa demande au titre du mois Février ou a défaut celui du mois de Mars, Avril, Mai, Juin ou Juillet 2021, si le CA de référence était celui de février (...) 2019,"&amp;" il convient de prendre celui d'Août 2019, soit "&amp;ROUND(AB600,0)&amp;" €"&amp;" ==&gt; "&amp;ROUND(AE600*100,0)&amp;" %","A noter qu'il convient de choisir l'option retenue par l'entreprise lors de sa demande"&amp;" au titre du mois Février  ou a défaut celui du mois de Mars, Avril, Mai, Juin ou Juillet 2021, si le CA de référence était celui de l'exercice 2019, il convient de prendre celui de l'exercie 2019, soit une perte de "&amp;ROUND(AB601,0)&amp;" €"&amp;" ==&gt; "&amp;ROUND(AE601*100,0)&amp;" %")),"")</f>
        <v>A noter qu'il convient de choisir l'option retenue par l'entreprise lors de sa demande au titre du mois Février  ou a défaut celui du mois de Mars, Avril, Mai, Juin ou Juillet 2021, si le CA de référence était celui de l'exercice 2019, il convient de prendre celui de l'exercie 2019, soit une perte de 0 € ==&gt; 0 %</v>
      </c>
      <c r="E632" s="524"/>
      <c r="F632" s="524"/>
      <c r="G632" s="524"/>
      <c r="H632" s="524"/>
      <c r="I632" s="524"/>
      <c r="J632" s="524"/>
      <c r="K632" s="524"/>
      <c r="L632" s="524"/>
      <c r="M632" s="524"/>
      <c r="N632" s="524"/>
      <c r="O632" s="524"/>
      <c r="P632" s="1"/>
      <c r="T632" s="14"/>
      <c r="U632" s="525" t="s">
        <v>72</v>
      </c>
      <c r="V632" s="525"/>
      <c r="W632" s="525"/>
      <c r="X632" s="525"/>
      <c r="Y632" s="525"/>
      <c r="Z632" s="139"/>
      <c r="AA632" s="145"/>
      <c r="AB632" s="360" t="str">
        <f>IF(AB612="Oui","Oui","Non")</f>
        <v>Oui</v>
      </c>
      <c r="AC632" s="139"/>
      <c r="AD632" s="1"/>
      <c r="AE632" s="13"/>
    </row>
    <row r="633" spans="1:31" ht="16.5" hidden="1" customHeight="1">
      <c r="A633" s="99"/>
      <c r="B633" s="103"/>
      <c r="C633" s="357"/>
      <c r="D633" s="524"/>
      <c r="E633" s="524"/>
      <c r="F633" s="524"/>
      <c r="G633" s="524"/>
      <c r="H633" s="524"/>
      <c r="I633" s="524"/>
      <c r="J633" s="524"/>
      <c r="K633" s="524"/>
      <c r="L633" s="524"/>
      <c r="M633" s="524"/>
      <c r="N633" s="524"/>
      <c r="O633" s="524"/>
      <c r="P633" s="1"/>
      <c r="T633" s="14"/>
      <c r="U633" s="525" t="s">
        <v>84</v>
      </c>
      <c r="V633" s="525"/>
      <c r="W633" s="525"/>
      <c r="X633" s="525"/>
      <c r="Y633" s="525"/>
      <c r="Z633" s="139"/>
      <c r="AA633" s="145"/>
      <c r="AB633" s="360">
        <f>IF('Mon Entreprise'!K8&gt;=Annexes!O20,IF(AB600&gt;=AB602,AB600,AB602),IF(AB600&gt;=AB601,AB600,AB601))</f>
        <v>0</v>
      </c>
      <c r="AC633" s="139"/>
      <c r="AD633" s="1"/>
      <c r="AE633" s="13"/>
    </row>
    <row r="634" spans="1:31" ht="16.5" hidden="1" customHeight="1">
      <c r="B634" s="103"/>
      <c r="C634" s="357"/>
      <c r="D634" s="215"/>
      <c r="E634" s="356"/>
      <c r="F634" s="356"/>
      <c r="G634" s="356"/>
      <c r="H634" s="356"/>
      <c r="I634" s="356"/>
      <c r="J634" s="356"/>
      <c r="K634" s="356"/>
      <c r="L634" s="356"/>
      <c r="M634" s="356"/>
      <c r="N634" s="356"/>
      <c r="O634" s="356"/>
      <c r="P634" s="1"/>
      <c r="T634" s="14"/>
      <c r="U634" s="525" t="s">
        <v>85</v>
      </c>
      <c r="V634" s="525"/>
      <c r="W634" s="525"/>
      <c r="X634" s="525"/>
      <c r="Y634" s="525"/>
      <c r="Z634" s="139"/>
      <c r="AA634" s="145"/>
      <c r="AB634" s="360">
        <f>IF('Mon Entreprise'!K8&gt;=Annexes!O20,IF(AB600&gt;=AB602,AE600,AE602),IF(AB600&gt;=AB601,AE600,AE601))</f>
        <v>0</v>
      </c>
      <c r="AC634" s="139"/>
      <c r="AD634" s="1"/>
      <c r="AE634" s="13"/>
    </row>
    <row r="635" spans="1:31" ht="16.5" hidden="1" customHeight="1" thickBot="1">
      <c r="B635" s="103"/>
      <c r="C635" s="357"/>
      <c r="D635" s="356"/>
      <c r="E635" s="356"/>
      <c r="F635" s="356"/>
      <c r="G635" s="356"/>
      <c r="H635" s="356"/>
      <c r="I635" s="356"/>
      <c r="J635" s="356"/>
      <c r="K635" s="356"/>
      <c r="L635" s="356"/>
      <c r="M635" s="356"/>
      <c r="N635" s="356"/>
      <c r="O635" s="356"/>
      <c r="P635" s="1"/>
      <c r="T635" s="14"/>
      <c r="U635" s="502" t="s">
        <v>74</v>
      </c>
      <c r="V635" s="502"/>
      <c r="W635" s="502"/>
      <c r="X635" s="502"/>
      <c r="Y635" s="502"/>
      <c r="Z635" s="139"/>
      <c r="AA635" s="145"/>
      <c r="AB635" s="360">
        <v>1</v>
      </c>
      <c r="AC635" s="139"/>
      <c r="AD635" s="1"/>
      <c r="AE635" s="13"/>
    </row>
    <row r="636" spans="1:31" ht="16.5" hidden="1" customHeight="1">
      <c r="B636" s="103"/>
      <c r="C636" s="357"/>
      <c r="D636" s="527" t="str">
        <f>IFERROR(IF(AB632="NON","Vous avez débuté votre activité après le 31 Janvier 2020, vous ne pouvez donc pas bénéficier de cette aide",IF(OR(AB627="OUI",AB629="OUI",AND(AB628="OUI",OR(AB622&lt;Annexes!P5,AB623&lt;Annexes!P5,'Mes Aides'!AB198&lt;0.1))),IF(AND(0.2*AB637&gt;Annexes!O8,0.2*AB636&gt;Annexes!O8),"Dans votre cas, l'aide est plafonnée, à "&amp;Annexes!O8&amp;" € pour le mois d'Août",IF(0.2*AB637&gt;=0.2*AB636,"Dans votre cas, 20 % de la perte est supérieur à 20 % du CA, l'aide est donc plafonnée à 20 % du CA, soit "&amp;ROUND(0.2*AB636,0)&amp;" € pour le mois d'Août","Dans votre cas, 20% de la perte est inférieure à 20 % du CA, l'aide est donc plafonnée à 20 % de la perte, soit "&amp;ROUND(0.2*AB637,0)&amp;" € pour le mois d'Août")),"Vous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636" s="509"/>
      <c r="F636" s="509"/>
      <c r="G636" s="509"/>
      <c r="H636" s="509"/>
      <c r="I636" s="509"/>
      <c r="J636" s="509"/>
      <c r="K636" s="509"/>
      <c r="L636" s="509"/>
      <c r="M636" s="509"/>
      <c r="N636" s="509"/>
      <c r="O636" s="510"/>
      <c r="P636" s="1"/>
      <c r="T636" s="14"/>
      <c r="U636" s="502" t="s">
        <v>80</v>
      </c>
      <c r="V636" s="502"/>
      <c r="W636" s="502"/>
      <c r="X636" s="502"/>
      <c r="Y636" s="502"/>
      <c r="Z636" s="139"/>
      <c r="AA636" s="145"/>
      <c r="AB636" s="360">
        <f>IF('Mon Entreprise'!K8&gt;=Annexes!O20,IF(AB600&gt;=AB602,Y600,Y602),IF(AB600&gt;=AB601,Y600,Y601))</f>
        <v>0</v>
      </c>
      <c r="AC636" s="139"/>
      <c r="AD636" s="1"/>
      <c r="AE636" s="13"/>
    </row>
    <row r="637" spans="1:31" ht="16.5" hidden="1" customHeight="1">
      <c r="B637" s="173"/>
      <c r="C637" s="357"/>
      <c r="D637" s="511"/>
      <c r="E637" s="512"/>
      <c r="F637" s="512"/>
      <c r="G637" s="512"/>
      <c r="H637" s="512"/>
      <c r="I637" s="512"/>
      <c r="J637" s="512"/>
      <c r="K637" s="512"/>
      <c r="L637" s="512"/>
      <c r="M637" s="512"/>
      <c r="N637" s="512"/>
      <c r="O637" s="513"/>
      <c r="P637" s="1"/>
      <c r="T637" s="14"/>
      <c r="U637" s="490" t="s">
        <v>104</v>
      </c>
      <c r="V637" s="490"/>
      <c r="W637" s="490"/>
      <c r="X637" s="490"/>
      <c r="Y637" s="490"/>
      <c r="Z637" s="1"/>
      <c r="AA637" s="14"/>
      <c r="AB637" s="358">
        <f>IF(AB635=1,AB633,IF(AB633*AB635&gt;1500,IF(AB633&gt;1500,AB633*AB635,"Impossible"),IF(AB633&lt;1500,AB633,1500)))</f>
        <v>0</v>
      </c>
      <c r="AC637" s="1"/>
      <c r="AD637" s="1"/>
      <c r="AE637" s="13"/>
    </row>
    <row r="638" spans="1:31" ht="16.5" hidden="1" customHeight="1">
      <c r="B638" s="103"/>
      <c r="C638" s="357"/>
      <c r="D638" s="511"/>
      <c r="E638" s="512"/>
      <c r="F638" s="512"/>
      <c r="G638" s="512"/>
      <c r="H638" s="512"/>
      <c r="I638" s="512"/>
      <c r="J638" s="512"/>
      <c r="K638" s="512"/>
      <c r="L638" s="512"/>
      <c r="M638" s="512"/>
      <c r="N638" s="512"/>
      <c r="O638" s="513"/>
      <c r="P638" s="1"/>
      <c r="T638" s="14"/>
      <c r="U638" s="358"/>
      <c r="V638" s="358"/>
      <c r="W638" s="358"/>
      <c r="X638" s="358"/>
      <c r="Y638" s="358"/>
      <c r="Z638" s="1"/>
      <c r="AA638" s="1"/>
      <c r="AB638" s="1"/>
      <c r="AC638" s="1"/>
      <c r="AD638" s="1"/>
      <c r="AE638" s="13"/>
    </row>
    <row r="639" spans="1:31" ht="16.5" hidden="1" customHeight="1" thickBot="1">
      <c r="B639" s="103"/>
      <c r="C639" s="357"/>
      <c r="D639" s="514"/>
      <c r="E639" s="515"/>
      <c r="F639" s="515"/>
      <c r="G639" s="515"/>
      <c r="H639" s="515"/>
      <c r="I639" s="515"/>
      <c r="J639" s="515"/>
      <c r="K639" s="515"/>
      <c r="L639" s="515"/>
      <c r="M639" s="515"/>
      <c r="N639" s="515"/>
      <c r="O639" s="516"/>
      <c r="P639" s="1"/>
      <c r="T639" s="14"/>
      <c r="U639" s="490"/>
      <c r="V639" s="490"/>
      <c r="W639" s="490"/>
      <c r="X639" s="490"/>
      <c r="Y639" s="490"/>
      <c r="Z639" s="1"/>
      <c r="AA639" s="1"/>
      <c r="AB639" s="1"/>
      <c r="AC639" s="1"/>
      <c r="AD639" s="1"/>
      <c r="AE639" s="13"/>
    </row>
    <row r="640" spans="1:31" ht="16.5" hidden="1" customHeight="1">
      <c r="B640" s="103"/>
      <c r="C640" s="372"/>
      <c r="D640" s="565" t="s">
        <v>528</v>
      </c>
      <c r="E640" s="565"/>
      <c r="F640" s="565"/>
      <c r="G640" s="565"/>
      <c r="H640" s="565"/>
      <c r="I640" s="565"/>
      <c r="J640" s="565"/>
      <c r="K640" s="565"/>
      <c r="L640" s="565"/>
      <c r="M640" s="565"/>
      <c r="N640" s="565"/>
      <c r="O640" s="565"/>
      <c r="P640" s="1"/>
      <c r="T640" s="14"/>
      <c r="U640" s="367"/>
      <c r="V640" s="367"/>
      <c r="W640" s="367"/>
      <c r="X640" s="367"/>
      <c r="Y640" s="367"/>
      <c r="Z640" s="1"/>
      <c r="AA640" s="1"/>
      <c r="AB640" s="1"/>
      <c r="AC640" s="1"/>
      <c r="AD640" s="1"/>
      <c r="AE640" s="13"/>
    </row>
    <row r="641" spans="2:31" ht="16.5" hidden="1" customHeight="1">
      <c r="B641" s="103"/>
      <c r="C641" s="169"/>
      <c r="D641" s="174"/>
      <c r="E641" s="174"/>
      <c r="F641" s="174"/>
      <c r="G641" s="174"/>
      <c r="H641" s="174"/>
      <c r="I641" s="174"/>
      <c r="J641" s="174"/>
      <c r="K641" s="174"/>
      <c r="L641" s="174"/>
      <c r="M641" s="174"/>
      <c r="N641" s="174"/>
      <c r="O641" s="174"/>
      <c r="P641" s="1"/>
      <c r="T641" s="14"/>
      <c r="U641" s="358"/>
      <c r="V641" s="358"/>
      <c r="W641" s="358"/>
      <c r="X641" s="358"/>
      <c r="Y641" s="358"/>
      <c r="Z641" s="1"/>
      <c r="AA641" s="1"/>
      <c r="AB641" s="1"/>
      <c r="AC641" s="1"/>
      <c r="AD641" s="1"/>
      <c r="AE641" s="13"/>
    </row>
    <row r="642" spans="2:31" ht="16.5" hidden="1" customHeight="1">
      <c r="B642" s="103"/>
      <c r="C642" s="357"/>
      <c r="D642" s="356"/>
      <c r="E642" s="356"/>
      <c r="F642" s="356"/>
      <c r="G642" s="356"/>
      <c r="H642" s="356"/>
      <c r="I642" s="356"/>
      <c r="J642" s="356"/>
      <c r="K642" s="356"/>
      <c r="L642" s="356"/>
      <c r="M642" s="356"/>
      <c r="N642" s="356"/>
      <c r="O642" s="356"/>
      <c r="P642" s="1"/>
      <c r="T642" s="14"/>
      <c r="U642" s="1"/>
      <c r="V642" s="1"/>
      <c r="W642" s="1"/>
      <c r="X642" s="1"/>
      <c r="Y642" s="1"/>
      <c r="Z642" s="1"/>
      <c r="AA642" s="1"/>
      <c r="AB642" s="1"/>
      <c r="AC642" s="1"/>
      <c r="AD642" s="1"/>
      <c r="AE642" s="13"/>
    </row>
    <row r="643" spans="2:31" ht="16.5" hidden="1" customHeight="1">
      <c r="B643" s="103"/>
      <c r="C643" s="529" t="s">
        <v>511</v>
      </c>
      <c r="D643" s="529"/>
      <c r="E643" s="529"/>
      <c r="F643" s="529"/>
      <c r="G643" s="529"/>
      <c r="H643" s="529"/>
      <c r="I643" s="529"/>
      <c r="J643" s="529"/>
      <c r="K643" s="529"/>
      <c r="L643" s="529"/>
      <c r="M643" s="529"/>
      <c r="N643" s="529"/>
      <c r="O643" s="529"/>
      <c r="P643" s="1"/>
      <c r="T643" s="14"/>
      <c r="U643" s="1"/>
      <c r="V643" s="1"/>
      <c r="W643" s="1"/>
      <c r="X643" s="1"/>
      <c r="Y643" s="1"/>
      <c r="Z643" s="1"/>
      <c r="AA643" s="1"/>
      <c r="AB643" s="1"/>
      <c r="AC643" s="1"/>
      <c r="AD643" s="1"/>
      <c r="AE643" s="13"/>
    </row>
    <row r="644" spans="2:31" ht="16.5" hidden="1" customHeight="1">
      <c r="B644" s="103"/>
      <c r="C644" s="529"/>
      <c r="D644" s="529"/>
      <c r="E644" s="529"/>
      <c r="F644" s="529"/>
      <c r="G644" s="529"/>
      <c r="H644" s="529"/>
      <c r="I644" s="529"/>
      <c r="J644" s="529"/>
      <c r="K644" s="529"/>
      <c r="L644" s="529"/>
      <c r="M644" s="529"/>
      <c r="N644" s="529"/>
      <c r="O644" s="529"/>
      <c r="P644" s="1"/>
      <c r="T644" s="14"/>
      <c r="U644" s="1"/>
      <c r="V644" s="1"/>
      <c r="W644" s="1"/>
      <c r="X644" s="1"/>
      <c r="Y644" s="1"/>
      <c r="Z644" s="1"/>
      <c r="AA644" s="1"/>
      <c r="AB644" s="1"/>
      <c r="AC644" s="1"/>
      <c r="AD644" s="1"/>
      <c r="AE644" s="13"/>
    </row>
    <row r="645" spans="2:31" ht="16.5" hidden="1" customHeight="1">
      <c r="B645" s="173"/>
      <c r="C645" s="357"/>
      <c r="D645" s="306"/>
      <c r="E645" s="528" t="str">
        <f>IF(AB632="NON","",IF(AB630=TRUE,"","L'entreprise n'a pas été en fermeture Administrative avec 20 % de perte de CA ou fermeture Administrative de 21 jours avec 50 % de perte  de CA"))</f>
        <v>L'entreprise n'a pas été en fermeture Administrative avec 20 % de perte de CA ou fermeture Administrative de 21 jours avec 50 % de perte  de CA</v>
      </c>
      <c r="F645" s="528"/>
      <c r="G645" s="528"/>
      <c r="H645" s="528"/>
      <c r="I645" s="528"/>
      <c r="J645" s="528"/>
      <c r="K645" s="528"/>
      <c r="L645" s="528"/>
      <c r="M645" s="528"/>
      <c r="N645" s="528"/>
      <c r="O645" s="528"/>
      <c r="P645" s="1"/>
      <c r="T645" s="14"/>
      <c r="U645" s="502" t="s">
        <v>82</v>
      </c>
      <c r="V645" s="502"/>
      <c r="W645" s="502"/>
      <c r="X645" s="502"/>
      <c r="Y645" s="502"/>
      <c r="Z645" s="68"/>
      <c r="AA645" s="1"/>
      <c r="AB645" s="1">
        <f>IFERROR(IF(AB612="Non",0,IF(AND(AB631=TRUE,AB615&gt;=0.2),IF(AB614&gt;Annexes!O5,Annexes!O5,ROUND(AB614,0)),0)),0)</f>
        <v>0</v>
      </c>
      <c r="AC645" s="1"/>
      <c r="AD645" s="1"/>
      <c r="AE645" s="13"/>
    </row>
    <row r="646" spans="2:31" ht="16.5" hidden="1" customHeight="1">
      <c r="B646" s="173"/>
      <c r="C646" s="357"/>
      <c r="D646" s="306"/>
      <c r="E646" s="528"/>
      <c r="F646" s="528"/>
      <c r="G646" s="528"/>
      <c r="H646" s="528"/>
      <c r="I646" s="528"/>
      <c r="J646" s="528"/>
      <c r="K646" s="528"/>
      <c r="L646" s="528"/>
      <c r="M646" s="528"/>
      <c r="N646" s="528"/>
      <c r="O646" s="528"/>
      <c r="P646" s="1"/>
      <c r="T646" s="14"/>
      <c r="U646" s="502" t="s">
        <v>478</v>
      </c>
      <c r="V646" s="502"/>
      <c r="W646" s="502"/>
      <c r="X646" s="502"/>
      <c r="Y646" s="502"/>
      <c r="Z646" s="68"/>
      <c r="AA646" s="1"/>
      <c r="AB646" s="1">
        <f>IFERROR(IF(AB632="NON",0,IF(OR(AB627="OUI",AB629="OUI",AND(AB628="OUI",OR(AB622&lt;Annexes!P5,AB623&lt;Annexes!P5,'Mes Aides'!AB198&lt;0.1))),IF(AND(0.2*AB637,0.2*AB636)&lt;Annexes!O8,Annexes!O8,IF(0.2*AB637&gt;=0.2*AB636,ROUND(0.2*AB636,0),ROUND(0.2*AB637,0))),0)),0)</f>
        <v>0</v>
      </c>
      <c r="AC646" s="1"/>
      <c r="AD646" s="1"/>
      <c r="AE646" s="13"/>
    </row>
    <row r="647" spans="2:31" ht="15" hidden="1" customHeight="1">
      <c r="B647" s="173"/>
      <c r="C647" s="357"/>
      <c r="D647" s="306"/>
      <c r="E647" s="353"/>
      <c r="F647" s="353"/>
      <c r="G647" s="353"/>
      <c r="H647" s="353"/>
      <c r="I647" s="353"/>
      <c r="J647" s="353"/>
      <c r="K647" s="353"/>
      <c r="L647" s="353"/>
      <c r="M647" s="353"/>
      <c r="N647" s="353"/>
      <c r="O647" s="353"/>
      <c r="P647" s="1"/>
      <c r="T647" s="14"/>
      <c r="U647" s="502" t="s">
        <v>478</v>
      </c>
      <c r="V647" s="502"/>
      <c r="W647" s="502"/>
      <c r="X647" s="502"/>
      <c r="Y647" s="502"/>
      <c r="Z647" s="68"/>
      <c r="AA647" s="1"/>
      <c r="AB647" s="1">
        <f>IFERROR(IF(AB632="NON",0,IF(AB630=TRUE,IF(AB636*0.2&gt;Annexes!O8,Annexes!O8,ROUND(AB636*0.2,0)),0)),0)</f>
        <v>0</v>
      </c>
      <c r="AC647" s="1"/>
      <c r="AD647" s="1"/>
      <c r="AE647" s="13"/>
    </row>
    <row r="648" spans="2:31" ht="15" hidden="1" customHeight="1">
      <c r="B648" s="173"/>
      <c r="C648" s="357"/>
      <c r="D648" s="417" t="str">
        <f>IFERROR(IF('Mon Entreprise'!K8&gt;=Annexes!O20,IF(AB600&gt;=AB602,"- Le CA de référence est celui d'Août 2019, soit une perte de "&amp;ROUND(AB600,0)&amp;" €"&amp;" ==&gt; "&amp;ROUND(AE600*100,0)&amp;" %","- Le CA de référence est celui de la création, soit une perte de "&amp;ROUND(AB602,0)&amp;" €"&amp;" ==&gt; "&amp;ROUND(AE602*100,0)&amp;" %"),IF(AB600&gt;=AB601,"- Le CA de référence est celui d'Août 2019, soit une perte de "&amp;ROUND(AB600,0)&amp;" €"&amp;" ==&gt; "&amp;ROUND(AE600*100,0)&amp;" %","- Le CA de référence est celui de l'exercice 2019, soit une perte de "&amp;ROUND(AB601,0)&amp;" €"&amp;" ==&gt; "&amp;ROUND(AE601*100,0)&amp;" %")),"")</f>
        <v>- Le CA de référence est celui d'Août 2019, soit une perte de 0 € ==&gt; 0 %</v>
      </c>
      <c r="E648" s="417"/>
      <c r="F648" s="417"/>
      <c r="G648" s="417"/>
      <c r="H648" s="417"/>
      <c r="I648" s="417"/>
      <c r="J648" s="417"/>
      <c r="K648" s="417"/>
      <c r="L648" s="417"/>
      <c r="M648" s="417"/>
      <c r="N648" s="417"/>
      <c r="O648" s="417"/>
      <c r="P648" s="356"/>
      <c r="Q648" s="356"/>
      <c r="T648" s="14"/>
      <c r="U648" s="1"/>
      <c r="V648" s="1"/>
      <c r="W648" s="1"/>
      <c r="X648" s="1"/>
      <c r="Y648" s="1"/>
      <c r="Z648" s="1"/>
      <c r="AA648" s="1"/>
      <c r="AB648" s="1"/>
      <c r="AC648" s="1"/>
      <c r="AD648" s="1"/>
      <c r="AE648" s="13"/>
    </row>
    <row r="649" spans="2:31" ht="16.5" hidden="1" customHeight="1">
      <c r="B649" s="173"/>
      <c r="C649" s="357"/>
      <c r="D649" s="524" t="str">
        <f>IFERROR(IF('Mon Entreprise'!K8&gt;=Annexes!O20,"",IF(AB600&lt;AB601,"A noter qu'il convient de choisir l'option retenue par l'entreprise lors de sa demande au titre du mois Février ou a défaut celui du mois de Mars, Avril, Mai, Juin ou Juillet 2021, si le CA de référence était celui de février (...) 2019, il convient"&amp;" de prendre celui d'Août 2019 (...), soit "&amp;ROUND(AB600,0)&amp;" €"&amp;" ==&gt; "&amp;ROUND(AE600*100,0)&amp;" %","A noter qu'il convient de choisir l'option retenue par l'entreprise lors de sa demande au titre du mois Février "&amp;"ou a défaut celui du mois de Mars, d'Avril, Mai, Juin ou Juillet 2021, si le CA de référence était celui de l'exercice 2019, il convient de prendre celui de l'exercie 2019, soit une perte de "&amp;ROUND(AB601,0)&amp;" €"&amp;" ==&gt; "&amp;ROUND(AE601*100,0)&amp;" %")),"")</f>
        <v>A noter qu'il convient de choisir l'option retenue par l'entreprise lors de sa demande au titre du mois Février ou a défaut celui du mois de Mars, d'Avril, Mai, Juin ou Juillet 2021, si le CA de référence était celui de l'exercice 2019, il convient de prendre celui de l'exercie 2019, soit une perte de 0 € ==&gt; 0 %</v>
      </c>
      <c r="E649" s="524"/>
      <c r="F649" s="524"/>
      <c r="G649" s="524"/>
      <c r="H649" s="524"/>
      <c r="I649" s="524"/>
      <c r="J649" s="524"/>
      <c r="K649" s="524"/>
      <c r="L649" s="524"/>
      <c r="M649" s="524"/>
      <c r="N649" s="524"/>
      <c r="O649" s="524"/>
      <c r="P649" s="356"/>
      <c r="Q649" s="356"/>
      <c r="T649" s="14"/>
      <c r="U649" s="1"/>
      <c r="V649" s="1"/>
      <c r="W649" s="1"/>
      <c r="X649" s="1"/>
      <c r="Y649" s="1"/>
      <c r="Z649" s="1"/>
      <c r="AA649" s="1"/>
      <c r="AB649" s="1"/>
      <c r="AC649" s="1"/>
      <c r="AD649" s="1"/>
      <c r="AE649" s="13"/>
    </row>
    <row r="650" spans="2:31" ht="16.5" hidden="1" customHeight="1">
      <c r="B650" s="173"/>
      <c r="C650" s="357"/>
      <c r="D650" s="524"/>
      <c r="E650" s="524"/>
      <c r="F650" s="524"/>
      <c r="G650" s="524"/>
      <c r="H650" s="524"/>
      <c r="I650" s="524"/>
      <c r="J650" s="524"/>
      <c r="K650" s="524"/>
      <c r="L650" s="524"/>
      <c r="M650" s="524"/>
      <c r="N650" s="524"/>
      <c r="O650" s="524"/>
      <c r="P650" s="356"/>
      <c r="Q650" s="356"/>
      <c r="T650" s="14"/>
      <c r="U650" s="1"/>
      <c r="V650" s="1"/>
      <c r="W650" s="1"/>
      <c r="X650" s="1"/>
      <c r="Y650" s="1"/>
      <c r="Z650" s="1"/>
      <c r="AA650" s="1"/>
      <c r="AB650" s="1"/>
      <c r="AC650" s="1"/>
      <c r="AD650" s="1"/>
      <c r="AE650" s="13"/>
    </row>
    <row r="651" spans="2:31" ht="16.5" hidden="1" customHeight="1" thickBot="1">
      <c r="B651" s="168"/>
      <c r="C651" s="357"/>
      <c r="D651" s="205"/>
      <c r="E651" s="356"/>
      <c r="F651" s="356"/>
      <c r="G651" s="356"/>
      <c r="H651" s="356"/>
      <c r="I651" s="356"/>
      <c r="J651" s="356"/>
      <c r="K651" s="356"/>
      <c r="L651" s="356"/>
      <c r="M651" s="356"/>
      <c r="N651" s="356"/>
      <c r="O651" s="356"/>
      <c r="P651" s="356"/>
      <c r="Q651" s="356"/>
      <c r="T651" s="14"/>
      <c r="U651" s="1"/>
      <c r="V651" s="1"/>
      <c r="W651" s="1"/>
      <c r="X651" s="1"/>
      <c r="Y651" s="1"/>
      <c r="Z651" s="1"/>
      <c r="AA651" s="1"/>
      <c r="AB651" s="1"/>
      <c r="AC651" s="1"/>
      <c r="AD651" s="1"/>
      <c r="AE651" s="13"/>
    </row>
    <row r="652" spans="2:31" ht="16.5" hidden="1" customHeight="1">
      <c r="B652" s="103"/>
      <c r="C652" s="180"/>
      <c r="D652" s="526" t="str">
        <f>IFERROR(IF(AB632="NON","Vous avez débuté votre activité après le 31 Janvier 2020, vous ne pouvez donc pas bénéficier de cette aide",IF(AB630=TRUE,IF(AB636*0.2&gt;Annexes!O8,"Dans votre cas, l'aide est plafonnée, à "&amp;Annexes!O8&amp;" € pour le mois d'Août","Dans votre cas, l'aide est plafonnée à 20 % du CA, soit "&amp;ROUND(AB636*0.2,0)&amp;" € pour le mois d'Août"),"Vous ne faites pas partie des entreprises en fermeture Administrative avec 20 % de perte de CA ou fermeture Administrative avec 20 % de perte de CA ou en fermeture Administrative de 21 jours avec 50 % de perte de CA")),"Vous n'avez pas indiqué de chiffre d'affaires de référence")</f>
        <v>Vous ne faites pas partie des entreprises en fermeture Administrative avec 20 % de perte de CA ou fermeture Administrative avec 20 % de perte de CA ou en fermeture Administrative de 21 jours avec 50 % de perte de CA</v>
      </c>
      <c r="E652" s="509"/>
      <c r="F652" s="509"/>
      <c r="G652" s="509"/>
      <c r="H652" s="509"/>
      <c r="I652" s="509"/>
      <c r="J652" s="509"/>
      <c r="K652" s="509"/>
      <c r="L652" s="509"/>
      <c r="M652" s="509"/>
      <c r="N652" s="509"/>
      <c r="O652" s="510"/>
      <c r="P652" s="356"/>
      <c r="Q652" s="356"/>
      <c r="T652" s="14"/>
      <c r="U652" s="1"/>
      <c r="V652" s="1"/>
      <c r="W652" s="1"/>
      <c r="X652" s="1"/>
      <c r="Y652" s="1"/>
      <c r="Z652" s="1"/>
      <c r="AA652" s="1"/>
      <c r="AB652" s="1"/>
      <c r="AC652" s="1"/>
      <c r="AD652" s="1"/>
      <c r="AE652" s="13"/>
    </row>
    <row r="653" spans="2:31" ht="16.5" hidden="1" customHeight="1">
      <c r="B653" s="103"/>
      <c r="C653" s="180"/>
      <c r="D653" s="511"/>
      <c r="E653" s="512"/>
      <c r="F653" s="512"/>
      <c r="G653" s="512"/>
      <c r="H653" s="512"/>
      <c r="I653" s="512"/>
      <c r="J653" s="512"/>
      <c r="K653" s="512"/>
      <c r="L653" s="512"/>
      <c r="M653" s="512"/>
      <c r="N653" s="512"/>
      <c r="O653" s="513"/>
      <c r="P653" s="356"/>
      <c r="Q653" s="356"/>
      <c r="T653" s="14"/>
      <c r="U653" s="1"/>
      <c r="V653" s="1"/>
      <c r="W653" s="1"/>
      <c r="X653" s="1"/>
      <c r="Y653" s="1"/>
      <c r="Z653" s="1"/>
      <c r="AA653" s="1"/>
      <c r="AB653" s="1"/>
      <c r="AC653" s="1"/>
      <c r="AD653" s="1"/>
      <c r="AE653" s="13"/>
    </row>
    <row r="654" spans="2:31" ht="16.5" hidden="1" customHeight="1">
      <c r="B654" s="103"/>
      <c r="C654" s="180"/>
      <c r="D654" s="511"/>
      <c r="E654" s="512"/>
      <c r="F654" s="512"/>
      <c r="G654" s="512"/>
      <c r="H654" s="512"/>
      <c r="I654" s="512"/>
      <c r="J654" s="512"/>
      <c r="K654" s="512"/>
      <c r="L654" s="512"/>
      <c r="M654" s="512"/>
      <c r="N654" s="512"/>
      <c r="O654" s="513"/>
      <c r="P654" s="175"/>
      <c r="Q654" s="175"/>
      <c r="T654" s="14"/>
      <c r="U654" s="1"/>
      <c r="V654" s="1"/>
      <c r="W654" s="1"/>
      <c r="X654" s="1"/>
      <c r="Y654" s="1"/>
      <c r="Z654" s="1"/>
      <c r="AA654" s="1"/>
      <c r="AB654" s="1"/>
      <c r="AC654" s="1"/>
      <c r="AD654" s="1"/>
      <c r="AE654" s="13"/>
    </row>
    <row r="655" spans="2:31" ht="16.5" hidden="1" customHeight="1" thickBot="1">
      <c r="B655" s="103"/>
      <c r="C655" s="180"/>
      <c r="D655" s="514"/>
      <c r="E655" s="515"/>
      <c r="F655" s="515"/>
      <c r="G655" s="515"/>
      <c r="H655" s="515"/>
      <c r="I655" s="515"/>
      <c r="J655" s="515"/>
      <c r="K655" s="515"/>
      <c r="L655" s="515"/>
      <c r="M655" s="515"/>
      <c r="N655" s="515"/>
      <c r="O655" s="516"/>
      <c r="T655" s="14"/>
      <c r="U655" s="1"/>
      <c r="V655" s="1"/>
      <c r="W655" s="1"/>
      <c r="X655" s="1"/>
      <c r="Y655" s="1"/>
      <c r="Z655" s="1"/>
      <c r="AA655" s="1"/>
      <c r="AB655" s="1"/>
      <c r="AC655" s="1"/>
      <c r="AD655" s="1"/>
      <c r="AE655" s="13"/>
    </row>
    <row r="656" spans="2:31" ht="16.5" hidden="1" customHeight="1">
      <c r="B656" s="5"/>
      <c r="C656" s="5"/>
      <c r="D656" s="354"/>
      <c r="E656" s="354"/>
      <c r="F656" s="354"/>
      <c r="G656" s="354"/>
      <c r="H656" s="354"/>
      <c r="I656" s="354"/>
      <c r="J656" s="354"/>
      <c r="K656" s="354"/>
      <c r="L656" s="354"/>
      <c r="M656" s="354"/>
      <c r="N656" s="354"/>
      <c r="O656" s="354"/>
      <c r="P656" s="177"/>
      <c r="Q656" s="177"/>
      <c r="T656" s="14"/>
      <c r="U656" s="1"/>
      <c r="V656" s="1"/>
      <c r="W656" s="1"/>
      <c r="X656" s="1"/>
      <c r="Y656" s="1"/>
      <c r="Z656" s="1"/>
      <c r="AA656" s="1"/>
      <c r="AB656" s="1"/>
      <c r="AC656" s="1"/>
      <c r="AD656" s="1"/>
      <c r="AE656" s="13"/>
    </row>
    <row r="657" spans="2:31" ht="16.5" customHeight="1">
      <c r="B657" s="5"/>
      <c r="C657" s="5"/>
      <c r="D657" s="355"/>
      <c r="E657" s="355"/>
      <c r="F657" s="355"/>
      <c r="G657" s="355"/>
      <c r="H657" s="355"/>
      <c r="I657" s="355"/>
      <c r="J657" s="355"/>
      <c r="K657" s="355"/>
      <c r="L657" s="355"/>
      <c r="M657" s="355"/>
      <c r="N657" s="355"/>
      <c r="O657" s="355"/>
      <c r="P657" s="177"/>
      <c r="Q657" s="177"/>
      <c r="T657" s="14"/>
      <c r="U657" s="1"/>
      <c r="V657" s="1"/>
      <c r="W657" s="1"/>
      <c r="X657" s="1"/>
      <c r="Y657" s="1"/>
      <c r="Z657" s="1"/>
      <c r="AA657" s="1"/>
      <c r="AB657" s="1"/>
      <c r="AC657" s="1"/>
      <c r="AD657" s="1"/>
      <c r="AE657" s="13"/>
    </row>
    <row r="658" spans="2:31" ht="16.5" thickBot="1">
      <c r="B658" s="220"/>
      <c r="C658" s="488" t="s">
        <v>19</v>
      </c>
      <c r="D658" s="488"/>
      <c r="E658" s="488"/>
      <c r="F658" s="488"/>
      <c r="G658" s="488"/>
      <c r="H658" s="488"/>
      <c r="I658" s="221"/>
      <c r="J658" s="221"/>
      <c r="K658" s="221"/>
      <c r="L658" s="221"/>
      <c r="M658" s="221"/>
      <c r="N658" s="221"/>
      <c r="O658" s="221"/>
      <c r="T658" s="16"/>
      <c r="U658" s="11"/>
      <c r="V658" s="11"/>
      <c r="W658" s="11"/>
      <c r="X658" s="11"/>
      <c r="Y658" s="11"/>
      <c r="Z658" s="11"/>
      <c r="AA658" s="11"/>
      <c r="AB658" s="11"/>
      <c r="AC658" s="11"/>
      <c r="AD658" s="11"/>
      <c r="AE658" s="12"/>
    </row>
    <row r="659" spans="2:31" ht="15" customHeight="1">
      <c r="B659" s="63"/>
      <c r="C659" s="24"/>
      <c r="D659" s="24"/>
      <c r="E659" s="24"/>
      <c r="F659" s="24"/>
      <c r="G659" s="24"/>
      <c r="H659" s="103"/>
      <c r="I659" s="1"/>
      <c r="J659" s="1"/>
      <c r="K659" s="1"/>
      <c r="L659" s="1"/>
      <c r="M659" s="1"/>
      <c r="N659" s="1"/>
      <c r="O659" s="1"/>
      <c r="T659" s="14"/>
      <c r="U659" s="1"/>
      <c r="V659" s="1"/>
      <c r="W659" s="1"/>
      <c r="X659" s="1"/>
      <c r="Y659" s="1"/>
      <c r="Z659" s="1"/>
      <c r="AA659" s="1"/>
      <c r="AB659" s="1"/>
      <c r="AC659" s="1"/>
      <c r="AD659" s="1"/>
      <c r="AE659" s="13"/>
    </row>
    <row r="660" spans="2:31" ht="15" customHeight="1">
      <c r="B660" s="103"/>
      <c r="C660" s="489" t="s">
        <v>521</v>
      </c>
      <c r="D660" s="489"/>
      <c r="E660" s="489"/>
      <c r="F660" s="489"/>
      <c r="G660" s="489"/>
      <c r="H660" s="489"/>
      <c r="I660" s="489"/>
      <c r="J660" s="489"/>
      <c r="K660" s="489"/>
      <c r="L660" s="489"/>
      <c r="M660" s="489"/>
      <c r="N660" s="489"/>
      <c r="O660" s="489"/>
      <c r="P660" s="1"/>
      <c r="T660" s="25"/>
      <c r="U660" s="490" t="s">
        <v>20</v>
      </c>
      <c r="V660" s="490"/>
      <c r="W660" s="490"/>
      <c r="X660" s="1"/>
      <c r="Y660" s="374" t="s">
        <v>6</v>
      </c>
      <c r="Z660" s="374"/>
      <c r="AA660" s="374"/>
      <c r="AB660" s="374" t="s">
        <v>23</v>
      </c>
      <c r="AC660" s="374"/>
      <c r="AD660" s="374"/>
      <c r="AE660" s="26" t="s">
        <v>24</v>
      </c>
    </row>
    <row r="661" spans="2:31" ht="15.75" customHeight="1">
      <c r="B661" s="103"/>
      <c r="C661" s="372"/>
      <c r="D661" s="60" t="s">
        <v>435</v>
      </c>
      <c r="E661" s="372"/>
      <c r="F661" s="372"/>
      <c r="G661" s="372"/>
      <c r="H661" s="372"/>
      <c r="I661" s="372"/>
      <c r="J661" s="372"/>
      <c r="K661" s="372"/>
      <c r="L661" s="372"/>
      <c r="M661" s="372"/>
      <c r="N661" s="372"/>
      <c r="O661" s="372"/>
      <c r="P661" s="1"/>
      <c r="T661" s="25"/>
      <c r="U661" s="374"/>
      <c r="V661" s="374"/>
      <c r="W661" s="374"/>
      <c r="X661" s="1"/>
      <c r="Y661" s="374"/>
      <c r="Z661" s="374"/>
      <c r="AA661" s="374"/>
      <c r="AB661" s="374"/>
      <c r="AC661" s="374"/>
      <c r="AD661" s="374"/>
      <c r="AE661" s="26"/>
    </row>
    <row r="662" spans="2:31" ht="16.5" thickBot="1">
      <c r="B662" s="103"/>
      <c r="C662" s="372"/>
      <c r="D662" s="60"/>
      <c r="E662" s="372"/>
      <c r="F662" s="372"/>
      <c r="G662" s="372"/>
      <c r="H662" s="372"/>
      <c r="I662" s="372"/>
      <c r="J662" s="372"/>
      <c r="K662" s="372"/>
      <c r="L662" s="372"/>
      <c r="M662" s="372"/>
      <c r="N662" s="372"/>
      <c r="O662" s="372"/>
      <c r="P662" s="1"/>
      <c r="T662" s="491" t="s">
        <v>527</v>
      </c>
      <c r="U662" s="490"/>
      <c r="V662" s="490"/>
      <c r="W662" s="490"/>
      <c r="X662" s="1"/>
      <c r="Y662" s="7">
        <f>'Mon Entreprise'!I138</f>
        <v>0</v>
      </c>
      <c r="Z662" s="133"/>
      <c r="AA662" s="21"/>
      <c r="AB662" s="7">
        <f>IF('Mon Entreprise'!I138-'Mon Entreprise'!M138&lt;0,0,'Mon Entreprise'!I138-'Mon Entreprise'!M138)</f>
        <v>0</v>
      </c>
      <c r="AC662" s="13"/>
      <c r="AD662" s="1"/>
      <c r="AE662" s="27">
        <f>IFERROR(1-'Mon Entreprise'!M138/'Mon Entreprise'!I138,0)</f>
        <v>0</v>
      </c>
    </row>
    <row r="663" spans="2:31" ht="15.75">
      <c r="B663" s="103"/>
      <c r="C663" s="372"/>
      <c r="D663" s="492" t="str">
        <f>IFERROR(IF(AND(AB707=0,AB708=0,AB709=0),"Vous ne pouvez pas bénéficier du fonds de solidarité pour le mois de Septembre 2021",IF(AND(AB709&gt;AB708,AB709&gt;AB707),"Votre entreprise peut bénéficier d'une aide de "&amp;AB709&amp;" €, au titre d'une fermeture Administrative avec une perte de 20 % de CA",IF(AB708&gt;AB707,"Votre entreprise peut bénéficier d'une aide de "&amp;AB708&amp;"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"&amp;AB707&amp;" €, au titre d'une fermeture administrative d'au moins 10 jours et d'une perte d'au-moins 50 % de votre CA en Septembre 2021"))),"Vous n'avez pas indiqué de chiffre d'affaires de référence")</f>
        <v>Vous ne pouvez pas bénéficier du fonds de solidarité pour le mois de Septembre 2021</v>
      </c>
      <c r="E663" s="493"/>
      <c r="F663" s="493"/>
      <c r="G663" s="493"/>
      <c r="H663" s="493"/>
      <c r="I663" s="493"/>
      <c r="J663" s="493"/>
      <c r="K663" s="493"/>
      <c r="L663" s="493"/>
      <c r="M663" s="493"/>
      <c r="N663" s="493"/>
      <c r="O663" s="494"/>
      <c r="P663" s="1"/>
      <c r="T663" s="491" t="s">
        <v>25</v>
      </c>
      <c r="U663" s="490"/>
      <c r="V663" s="490"/>
      <c r="W663" s="490"/>
      <c r="X663" s="1"/>
      <c r="Y663" s="7">
        <f>'Mon Entreprise'!I98</f>
        <v>0</v>
      </c>
      <c r="Z663" s="133"/>
      <c r="AA663" s="21"/>
      <c r="AB663" s="7">
        <f>IF('Mon Entreprise'!I98-'Mon Entreprise'!M138&lt;0,0,'Mon Entreprise'!I98-'Mon Entreprise'!M138)</f>
        <v>0</v>
      </c>
      <c r="AC663" s="36"/>
      <c r="AD663" s="1"/>
      <c r="AE663" s="27">
        <f>IFERROR(1-'Mon Entreprise'!M138/'Mon Entreprise'!I98,0)</f>
        <v>0</v>
      </c>
    </row>
    <row r="664" spans="2:31" ht="15.75" customHeight="1">
      <c r="B664" s="103"/>
      <c r="C664" s="372"/>
      <c r="D664" s="495"/>
      <c r="E664" s="496"/>
      <c r="F664" s="496"/>
      <c r="G664" s="496"/>
      <c r="H664" s="496"/>
      <c r="I664" s="496"/>
      <c r="J664" s="496"/>
      <c r="K664" s="496"/>
      <c r="L664" s="496"/>
      <c r="M664" s="496"/>
      <c r="N664" s="496"/>
      <c r="O664" s="497"/>
      <c r="P664" s="1"/>
      <c r="T664" s="501" t="s">
        <v>22</v>
      </c>
      <c r="U664" s="502"/>
      <c r="V664" s="502"/>
      <c r="W664" s="502"/>
      <c r="X664" s="139"/>
      <c r="Y664" s="140" t="str">
        <f>IF('Mon Entreprise'!I148="","NC",'Mon Entreprise'!I148)</f>
        <v>NC</v>
      </c>
      <c r="Z664" s="191"/>
      <c r="AA664" s="192"/>
      <c r="AB664" s="143" t="str">
        <f>IFERROR(IF('Mon Entreprise'!I148-'Mon Entreprise'!M138&lt;0,0,'Mon Entreprise'!I148-'Mon Entreprise'!M138),"NC")</f>
        <v>NC</v>
      </c>
      <c r="AC664" s="193"/>
      <c r="AD664" s="139"/>
      <c r="AE664" s="146" t="str">
        <f>IFERROR(1-'Mon Entreprise'!M138/'Mon Entreprise'!I148,"NC")</f>
        <v>NC</v>
      </c>
    </row>
    <row r="665" spans="2:31" ht="15.75" customHeight="1">
      <c r="B665" s="103"/>
      <c r="C665" s="372"/>
      <c r="D665" s="495"/>
      <c r="E665" s="496"/>
      <c r="F665" s="496"/>
      <c r="G665" s="496"/>
      <c r="H665" s="496"/>
      <c r="I665" s="496"/>
      <c r="J665" s="496"/>
      <c r="K665" s="496"/>
      <c r="L665" s="496"/>
      <c r="M665" s="496"/>
      <c r="N665" s="496"/>
      <c r="O665" s="497"/>
      <c r="P665" s="1"/>
      <c r="T665" s="373"/>
      <c r="U665" s="370"/>
      <c r="V665" s="370"/>
      <c r="W665" s="370"/>
      <c r="X665" s="139"/>
      <c r="Y665" s="140"/>
      <c r="Z665" s="141"/>
      <c r="AA665" s="192"/>
      <c r="AB665" s="143"/>
      <c r="AC665" s="370"/>
      <c r="AD665" s="139"/>
      <c r="AE665" s="146"/>
    </row>
    <row r="666" spans="2:31" ht="15.75" customHeight="1">
      <c r="B666" s="103"/>
      <c r="C666" s="372"/>
      <c r="D666" s="495"/>
      <c r="E666" s="496"/>
      <c r="F666" s="496"/>
      <c r="G666" s="496"/>
      <c r="H666" s="496"/>
      <c r="I666" s="496"/>
      <c r="J666" s="496"/>
      <c r="K666" s="496"/>
      <c r="L666" s="496"/>
      <c r="M666" s="496"/>
      <c r="N666" s="496"/>
      <c r="O666" s="497"/>
      <c r="P666" s="1"/>
      <c r="T666" s="14"/>
      <c r="U666" s="1"/>
      <c r="V666" s="1"/>
      <c r="W666" s="1"/>
      <c r="X666" s="1"/>
      <c r="Y666" s="1"/>
      <c r="Z666" s="1"/>
      <c r="AA666" s="1"/>
      <c r="AB666" s="1"/>
      <c r="AC666" s="1"/>
      <c r="AD666" s="1"/>
      <c r="AE666" s="13"/>
    </row>
    <row r="667" spans="2:31" ht="15.75" customHeight="1">
      <c r="B667" s="103"/>
      <c r="C667" s="372"/>
      <c r="D667" s="495"/>
      <c r="E667" s="496"/>
      <c r="F667" s="496"/>
      <c r="G667" s="496"/>
      <c r="H667" s="496"/>
      <c r="I667" s="496"/>
      <c r="J667" s="496"/>
      <c r="K667" s="496"/>
      <c r="L667" s="496"/>
      <c r="M667" s="496"/>
      <c r="N667" s="496"/>
      <c r="O667" s="497"/>
      <c r="P667" s="1"/>
      <c r="T667" s="14"/>
      <c r="AC667" s="1"/>
      <c r="AD667" s="1"/>
      <c r="AE667" s="13"/>
    </row>
    <row r="668" spans="2:31" ht="15.75" customHeight="1" thickBot="1">
      <c r="B668" s="103"/>
      <c r="C668" s="372"/>
      <c r="D668" s="498"/>
      <c r="E668" s="499"/>
      <c r="F668" s="499"/>
      <c r="G668" s="499"/>
      <c r="H668" s="499"/>
      <c r="I668" s="499"/>
      <c r="J668" s="499"/>
      <c r="K668" s="499"/>
      <c r="L668" s="499"/>
      <c r="M668" s="499"/>
      <c r="N668" s="499"/>
      <c r="O668" s="500"/>
      <c r="P668" s="1"/>
      <c r="T668" s="14"/>
      <c r="AC668" s="1"/>
      <c r="AD668" s="1"/>
      <c r="AE668" s="13"/>
    </row>
    <row r="669" spans="2:31" ht="16.5" customHeight="1">
      <c r="B669" s="103"/>
      <c r="C669" s="372"/>
      <c r="D669" s="503" t="s">
        <v>525</v>
      </c>
      <c r="E669" s="503"/>
      <c r="F669" s="503"/>
      <c r="G669" s="503"/>
      <c r="H669" s="503"/>
      <c r="I669" s="503"/>
      <c r="J669" s="503"/>
      <c r="K669" s="503"/>
      <c r="L669" s="503"/>
      <c r="M669" s="503"/>
      <c r="N669" s="503"/>
      <c r="O669" s="503"/>
      <c r="P669" s="1"/>
      <c r="T669" s="14"/>
      <c r="AC669" s="1"/>
      <c r="AD669" s="1"/>
      <c r="AE669" s="13"/>
    </row>
    <row r="670" spans="2:31" ht="16.5" customHeight="1">
      <c r="B670" s="103"/>
      <c r="C670" s="372"/>
      <c r="D670" s="504"/>
      <c r="E670" s="504"/>
      <c r="F670" s="504"/>
      <c r="G670" s="504"/>
      <c r="H670" s="504"/>
      <c r="I670" s="504"/>
      <c r="J670" s="504"/>
      <c r="K670" s="504"/>
      <c r="L670" s="504"/>
      <c r="M670" s="504"/>
      <c r="N670" s="504"/>
      <c r="O670" s="504"/>
      <c r="P670" s="1"/>
      <c r="T670" s="14"/>
      <c r="AC670" s="1"/>
      <c r="AD670" s="1"/>
      <c r="AE670" s="13"/>
    </row>
    <row r="671" spans="2:31" ht="15.75" hidden="1">
      <c r="B671" s="103"/>
      <c r="C671" s="78"/>
      <c r="D671" s="78"/>
      <c r="E671" s="78"/>
      <c r="F671" s="78"/>
      <c r="G671" s="78"/>
      <c r="H671" s="78"/>
      <c r="I671" s="78"/>
      <c r="J671" s="78"/>
      <c r="K671" s="78"/>
      <c r="L671" s="78"/>
      <c r="M671" s="78"/>
      <c r="N671" s="78"/>
      <c r="O671" s="78"/>
      <c r="P671" s="1"/>
      <c r="T671" s="14"/>
      <c r="U671" s="1"/>
      <c r="V671" s="1"/>
      <c r="W671" s="1"/>
      <c r="X671" s="1"/>
      <c r="Y671" s="1"/>
      <c r="Z671" s="1"/>
      <c r="AA671" s="1"/>
      <c r="AB671" s="1"/>
      <c r="AC671" s="1"/>
      <c r="AD671" s="1"/>
      <c r="AE671" s="13"/>
    </row>
    <row r="672" spans="2:31" ht="15.75" hidden="1">
      <c r="B672" s="103"/>
      <c r="C672" s="372"/>
      <c r="D672" s="60"/>
      <c r="E672" s="372"/>
      <c r="F672" s="372"/>
      <c r="G672" s="372"/>
      <c r="H672" s="372"/>
      <c r="I672" s="372"/>
      <c r="J672" s="372"/>
      <c r="K672" s="372"/>
      <c r="L672" s="372"/>
      <c r="M672" s="372"/>
      <c r="N672" s="372"/>
      <c r="O672" s="372"/>
      <c r="P672" s="1"/>
      <c r="T672" s="14"/>
      <c r="U672" s="1"/>
      <c r="V672" s="1"/>
      <c r="W672" s="1"/>
      <c r="X672" s="1"/>
      <c r="Y672" s="1"/>
      <c r="Z672" s="1"/>
      <c r="AA672" s="1"/>
      <c r="AB672" s="1"/>
      <c r="AC672" s="1"/>
      <c r="AD672" s="1"/>
      <c r="AE672" s="13"/>
    </row>
    <row r="673" spans="2:31" ht="15.75" hidden="1">
      <c r="B673" s="103"/>
      <c r="C673" s="505" t="s">
        <v>526</v>
      </c>
      <c r="D673" s="505"/>
      <c r="E673" s="505"/>
      <c r="F673" s="505"/>
      <c r="G673" s="505"/>
      <c r="H673" s="505"/>
      <c r="I673" s="505"/>
      <c r="J673" s="505"/>
      <c r="K673" s="505"/>
      <c r="L673" s="505"/>
      <c r="M673" s="505"/>
      <c r="N673" s="505"/>
      <c r="O673" s="505"/>
      <c r="P673" s="1"/>
      <c r="T673" s="14"/>
      <c r="U673" s="1"/>
      <c r="V673" s="1"/>
      <c r="W673" s="1"/>
      <c r="X673" s="1"/>
      <c r="Y673" s="1"/>
      <c r="Z673" s="1"/>
      <c r="AA673" s="1"/>
      <c r="AB673" s="1"/>
      <c r="AC673" s="1"/>
      <c r="AD673" s="1"/>
      <c r="AE673" s="13"/>
    </row>
    <row r="674" spans="2:31" ht="15.75" hidden="1">
      <c r="B674" s="103"/>
      <c r="C674" s="505"/>
      <c r="D674" s="505"/>
      <c r="E674" s="505"/>
      <c r="F674" s="505"/>
      <c r="G674" s="505"/>
      <c r="H674" s="505"/>
      <c r="I674" s="505"/>
      <c r="J674" s="505"/>
      <c r="K674" s="505"/>
      <c r="L674" s="505"/>
      <c r="M674" s="505"/>
      <c r="N674" s="505"/>
      <c r="O674" s="505"/>
      <c r="P674" s="1"/>
      <c r="T674" s="14"/>
      <c r="U674" s="506" t="s">
        <v>72</v>
      </c>
      <c r="V674" s="506"/>
      <c r="W674" s="506"/>
      <c r="X674" s="506"/>
      <c r="Y674" s="506"/>
      <c r="Z674" s="1"/>
      <c r="AA674" s="14"/>
      <c r="AB674" s="370" t="str">
        <f>IF('Mon Entreprise'!K8&lt;=Annexes!R15,"Oui","Non")</f>
        <v>Oui</v>
      </c>
      <c r="AC674" s="1"/>
      <c r="AD674" s="1"/>
      <c r="AE674" s="13"/>
    </row>
    <row r="675" spans="2:31" ht="15.75" hidden="1">
      <c r="B675" s="168"/>
      <c r="C675" s="372"/>
      <c r="D675" s="60" t="str">
        <f>IFERROR(IF('Mon Entreprise'!K8&gt;=Annexes!O20,IF(AB662&gt;=AB664,"Le CA de référence est celui de Septembre 2019, soit une perte de "&amp;ROUND(AB662,0)&amp;" €"&amp;" ==&gt; "&amp;ROUND(AE662*100,0)&amp;" %","Le CA de référence est celui de la création, soit une perte de "&amp;ROUND(AB664,0)&amp;" €"&amp;" ==&gt; "&amp;ROUND(AE664*100,0)&amp;" %"),IF(AB662&gt;=AB663,"Le CA de référence est celui de Septembre 2019, soit une perte de "&amp;ROUND(AB662,0)&amp;" €"&amp;" ==&gt; "&amp;ROUND(AE662*100,0)&amp;" %","Le CA de référence est celui de l'exercice 2019, soit une perte de "&amp;ROUND(AB663,0)&amp;" €"&amp;" ==&gt; "&amp;ROUND(AE663*100,0)&amp;" %")),"")</f>
        <v>Le CA de référence est celui de Septembre 2019, soit une perte de 0 € ==&gt; 0 %</v>
      </c>
      <c r="E675" s="372"/>
      <c r="F675" s="372"/>
      <c r="G675" s="372"/>
      <c r="H675" s="372"/>
      <c r="I675" s="372"/>
      <c r="J675" s="372"/>
      <c r="K675" s="372"/>
      <c r="L675" s="372"/>
      <c r="M675" s="372"/>
      <c r="N675" s="372"/>
      <c r="O675" s="372"/>
      <c r="P675" s="1"/>
      <c r="T675" s="14"/>
      <c r="U675" s="371"/>
      <c r="V675" s="506" t="s">
        <v>393</v>
      </c>
      <c r="W675" s="506"/>
      <c r="X675" s="506"/>
      <c r="Y675" s="506"/>
      <c r="Z675" s="1"/>
      <c r="AA675" s="14"/>
      <c r="AB675" s="370">
        <f>IF('Mon Entreprise'!K8&gt;=Annexes!O20,IF(Y662&gt;=Y664,Y662,Y664),IF(Y662&gt;=Y663,Y662,Y663))</f>
        <v>0</v>
      </c>
      <c r="AC675" s="1"/>
      <c r="AD675" s="1"/>
      <c r="AE675" s="13"/>
    </row>
    <row r="676" spans="2:31" ht="15.75" hidden="1" customHeight="1">
      <c r="B676" s="168"/>
      <c r="C676" s="372"/>
      <c r="D676" s="507" t="str">
        <f>IFERROR(IF('Mon Entreprise'!K8&gt;=Annexes!O20,"",IF(AB662&lt;AB663,"A noter qu'il convient de choisir l'option retenue par l'entreprise lors de sa demande au titre du mois Février 2021, ou a défaut celui du mois de Mars, d'Avril, Mai, Juin, Juillet, Août 2021, si le CA de référence était celui de février 2019 (...),"&amp;" il convient de prendre"&amp;" celui de Septembre 2019, soit "&amp;ROUND(AB662,0)&amp;" €"&amp;" ==&gt; "&amp;ROUND(AE662*100,0)&amp;" %","A noter qu'il convient de choisir l'option retenue par l'entreprise lors de sa demande au titre du mois Février 2021, ou "&amp;"a défaut celui du mois de Mars, d'Avril, Mai, Juin, Juillet ou Août 2021, si"&amp;" le CA de référence était celui de l'exercice 2019, il convient de prendre celui de l'exercie 2019, soit une perte de "&amp;ROUND(AB663,0)&amp;" €"&amp;" ==&gt; "&amp;ROUND(AE663*100,0)&amp;" %")),"")</f>
        <v>A noter qu'il convient de choisir l'option retenue par l'entreprise lors de sa demande au titre du mois Février 2021, ou a défaut celui du mois de Mars, d'Avril, Mai, Juin, Juillet ou Août 2021, si le CA de référence était celui de l'exercice 2019, il convient de prendre celui de l'exercie 2019, soit une perte de 0 € ==&gt; 0 %</v>
      </c>
      <c r="E676" s="507"/>
      <c r="F676" s="507"/>
      <c r="G676" s="507"/>
      <c r="H676" s="507"/>
      <c r="I676" s="507"/>
      <c r="J676" s="507"/>
      <c r="K676" s="507"/>
      <c r="L676" s="507"/>
      <c r="M676" s="507"/>
      <c r="N676" s="507"/>
      <c r="O676" s="507"/>
      <c r="P676" s="1"/>
      <c r="T676" s="14"/>
      <c r="U676" s="506" t="s">
        <v>84</v>
      </c>
      <c r="V676" s="506"/>
      <c r="W676" s="506"/>
      <c r="X676" s="506"/>
      <c r="Y676" s="506"/>
      <c r="Z676" s="1"/>
      <c r="AA676" s="14"/>
      <c r="AB676" s="367">
        <f>IF('Mon Entreprise'!K8&gt;=Annexes!O20,IF(AB662&gt;=AB664,AB662,AB664),IF(AB662&gt;=AB663,AB662,AB663))</f>
        <v>0</v>
      </c>
      <c r="AC676" s="1"/>
      <c r="AD676" s="1"/>
      <c r="AE676" s="13"/>
    </row>
    <row r="677" spans="2:31" ht="15.75" hidden="1">
      <c r="B677" s="168"/>
      <c r="C677" s="372"/>
      <c r="D677" s="507"/>
      <c r="E677" s="507"/>
      <c r="F677" s="507"/>
      <c r="G677" s="507"/>
      <c r="H677" s="507"/>
      <c r="I677" s="507"/>
      <c r="J677" s="507"/>
      <c r="K677" s="507"/>
      <c r="L677" s="507"/>
      <c r="M677" s="507"/>
      <c r="N677" s="507"/>
      <c r="O677" s="507"/>
      <c r="P677" s="1"/>
      <c r="T677" s="14"/>
      <c r="U677" s="506" t="s">
        <v>85</v>
      </c>
      <c r="V677" s="506"/>
      <c r="W677" s="506"/>
      <c r="X677" s="506"/>
      <c r="Y677" s="506"/>
      <c r="Z677" s="1"/>
      <c r="AA677" s="14"/>
      <c r="AB677" s="19">
        <f>IF('Mon Entreprise'!K8&gt;=Annexes!O20,IF(AB662&gt;=AB664,AE662,AE664),IF(AB662&gt;=AB663,AE662,AE663))</f>
        <v>0</v>
      </c>
      <c r="AC677" s="1"/>
      <c r="AD677" s="1"/>
      <c r="AE677" s="13"/>
    </row>
    <row r="678" spans="2:31" ht="15.75" hidden="1">
      <c r="B678" s="168"/>
      <c r="C678" s="372"/>
      <c r="D678" s="507"/>
      <c r="E678" s="507"/>
      <c r="F678" s="507"/>
      <c r="G678" s="507"/>
      <c r="H678" s="507"/>
      <c r="I678" s="507"/>
      <c r="J678" s="507"/>
      <c r="K678" s="507"/>
      <c r="L678" s="507"/>
      <c r="M678" s="507"/>
      <c r="N678" s="507"/>
      <c r="O678" s="507"/>
      <c r="P678" s="1"/>
      <c r="T678" s="14"/>
      <c r="U678" s="371"/>
      <c r="V678" s="371"/>
      <c r="W678" s="371"/>
      <c r="X678" s="371"/>
      <c r="Y678" s="371"/>
      <c r="Z678" s="1"/>
      <c r="AA678" s="1"/>
      <c r="AB678" s="19"/>
      <c r="AC678" s="1"/>
      <c r="AD678" s="1"/>
      <c r="AE678" s="13"/>
    </row>
    <row r="679" spans="2:31" ht="16.5" hidden="1" thickBot="1">
      <c r="B679" s="103"/>
      <c r="C679" s="372"/>
      <c r="D679" s="60" t="s">
        <v>7</v>
      </c>
      <c r="E679" s="372"/>
      <c r="F679" s="372"/>
      <c r="G679" s="372"/>
      <c r="H679" s="372"/>
      <c r="I679" s="372"/>
      <c r="J679" s="372"/>
      <c r="K679" s="372"/>
      <c r="L679" s="372"/>
      <c r="M679" s="372"/>
      <c r="N679" s="372"/>
      <c r="O679" s="372"/>
      <c r="P679" s="1"/>
      <c r="T679" s="14"/>
      <c r="U679" s="1"/>
      <c r="V679" s="1"/>
      <c r="W679" s="1"/>
      <c r="X679" s="1"/>
      <c r="Y679" s="1"/>
      <c r="Z679" s="1"/>
      <c r="AA679" s="1"/>
      <c r="AB679" s="1"/>
      <c r="AC679" s="1"/>
      <c r="AD679" s="1"/>
      <c r="AE679" s="13"/>
    </row>
    <row r="680" spans="2:31" ht="15.75" hidden="1">
      <c r="B680" s="168"/>
      <c r="C680" s="372"/>
      <c r="D680" s="508" t="str">
        <f>IFERROR(IF(AB674="Non","Vous avez débuté votre activité après le 31 Janvier 2020, vous ne pouvez donc pas bénéficier de cette aide",IF(AND(AB693=TRUE,AB677&gt;=0.5),IF(AB676&gt;Annexes!O5,"Dans votre cas, l'aide est Plafonnée, à "&amp;Annexes!O5&amp;" € pour le mois de Septembre","Vous pouvez bénéficier, au titre de cette aide, d'un montant de "&amp;ROUND(AB676,0)&amp;" € pour le mois de Septembre"),"L'entreprise n'a pas une perte d'au moins 20 % en Septembre 2021 ou n'a pas été en fermeture Administrative au moins 8 Jours")),"Vous n'avez pas indiqué de chiffre d'affaires de référence")</f>
        <v>L'entreprise n'a pas une perte d'au moins 20 % en Septembre 2021 ou n'a pas été en fermeture Administrative au moins 8 Jours</v>
      </c>
      <c r="E680" s="509"/>
      <c r="F680" s="509"/>
      <c r="G680" s="509"/>
      <c r="H680" s="509"/>
      <c r="I680" s="509"/>
      <c r="J680" s="509"/>
      <c r="K680" s="509"/>
      <c r="L680" s="509"/>
      <c r="M680" s="509"/>
      <c r="N680" s="509"/>
      <c r="O680" s="510"/>
      <c r="P680" s="1"/>
      <c r="T680" s="14"/>
      <c r="U680" s="1"/>
      <c r="V680" s="1"/>
      <c r="W680" s="1"/>
      <c r="X680" s="1"/>
      <c r="Y680" s="1"/>
      <c r="Z680" s="1"/>
      <c r="AA680" s="1"/>
      <c r="AB680" s="1"/>
      <c r="AC680" s="1"/>
      <c r="AD680" s="1"/>
      <c r="AE680" s="13"/>
    </row>
    <row r="681" spans="2:31" ht="15.75" hidden="1" customHeight="1">
      <c r="B681" s="168"/>
      <c r="C681" s="372"/>
      <c r="D681" s="511"/>
      <c r="E681" s="512"/>
      <c r="F681" s="512"/>
      <c r="G681" s="512"/>
      <c r="H681" s="512"/>
      <c r="I681" s="512"/>
      <c r="J681" s="512"/>
      <c r="K681" s="512"/>
      <c r="L681" s="512"/>
      <c r="M681" s="512"/>
      <c r="N681" s="512"/>
      <c r="O681" s="513"/>
      <c r="P681" s="1"/>
      <c r="T681" s="14"/>
      <c r="U681" s="1"/>
      <c r="V681" s="1"/>
      <c r="W681" s="1"/>
      <c r="X681" s="1"/>
      <c r="Y681" s="1"/>
      <c r="Z681" s="1"/>
      <c r="AA681" s="1"/>
      <c r="AB681" s="1"/>
      <c r="AC681" s="1"/>
      <c r="AD681" s="1"/>
      <c r="AE681" s="13"/>
    </row>
    <row r="682" spans="2:31" ht="15.75" hidden="1" customHeight="1">
      <c r="B682" s="103"/>
      <c r="C682" s="372"/>
      <c r="D682" s="511"/>
      <c r="E682" s="512"/>
      <c r="F682" s="512"/>
      <c r="G682" s="512"/>
      <c r="H682" s="512"/>
      <c r="I682" s="512"/>
      <c r="J682" s="512"/>
      <c r="K682" s="512"/>
      <c r="L682" s="512"/>
      <c r="M682" s="512"/>
      <c r="N682" s="512"/>
      <c r="O682" s="513"/>
      <c r="P682" s="1"/>
      <c r="T682" s="14"/>
      <c r="U682" s="1"/>
      <c r="V682" s="1"/>
      <c r="W682" s="1"/>
      <c r="X682" s="1"/>
      <c r="Y682" s="1"/>
      <c r="Z682" s="1"/>
      <c r="AA682" s="1"/>
      <c r="AB682" s="1"/>
      <c r="AC682" s="1"/>
      <c r="AD682" s="1"/>
      <c r="AE682" s="13"/>
    </row>
    <row r="683" spans="2:31" ht="15.75" hidden="1" customHeight="1" thickBot="1">
      <c r="B683" s="103"/>
      <c r="C683" s="372"/>
      <c r="D683" s="514"/>
      <c r="E683" s="515"/>
      <c r="F683" s="515"/>
      <c r="G683" s="515"/>
      <c r="H683" s="515"/>
      <c r="I683" s="515"/>
      <c r="J683" s="515"/>
      <c r="K683" s="515"/>
      <c r="L683" s="515"/>
      <c r="M683" s="515"/>
      <c r="N683" s="515"/>
      <c r="O683" s="516"/>
      <c r="P683" s="1"/>
      <c r="T683" s="14"/>
      <c r="U683" s="1"/>
      <c r="V683" s="1"/>
      <c r="W683" s="1"/>
      <c r="X683" s="1"/>
      <c r="Y683" s="1"/>
      <c r="Z683" s="1"/>
      <c r="AA683" s="1"/>
      <c r="AB683" s="1"/>
      <c r="AC683" s="1"/>
      <c r="AD683" s="1"/>
      <c r="AE683" s="13"/>
    </row>
    <row r="684" spans="2:31" ht="16.5" hidden="1" customHeight="1">
      <c r="B684" s="103"/>
      <c r="C684" s="169"/>
      <c r="D684" s="517"/>
      <c r="E684" s="517"/>
      <c r="F684" s="517"/>
      <c r="G684" s="517"/>
      <c r="H684" s="517"/>
      <c r="I684" s="517"/>
      <c r="J684" s="517"/>
      <c r="K684" s="517"/>
      <c r="L684" s="517"/>
      <c r="M684" s="517"/>
      <c r="N684" s="517"/>
      <c r="O684" s="517"/>
      <c r="P684" s="1"/>
      <c r="T684" s="518" t="s">
        <v>4</v>
      </c>
      <c r="U684" s="519"/>
      <c r="V684" s="519"/>
      <c r="W684" s="519"/>
      <c r="X684" s="519"/>
      <c r="Y684" s="519"/>
      <c r="Z684" s="139"/>
      <c r="AA684" s="145"/>
      <c r="AB684" s="194">
        <f>IFERROR(IF('Mon Entreprise'!K8&gt;=Annexes!Q18,0,1-'Mon Entreprise'!M118/2/AB675),0)</f>
        <v>0</v>
      </c>
      <c r="AC684" s="1"/>
      <c r="AD684" s="1"/>
      <c r="AE684" s="13"/>
    </row>
    <row r="685" spans="2:31" ht="16.5" hidden="1" customHeight="1">
      <c r="B685" s="103"/>
      <c r="C685" s="372"/>
      <c r="D685" s="306"/>
      <c r="E685" s="306"/>
      <c r="F685" s="306"/>
      <c r="G685" s="306"/>
      <c r="H685" s="306"/>
      <c r="I685" s="306"/>
      <c r="J685" s="306"/>
      <c r="K685" s="306"/>
      <c r="L685" s="306"/>
      <c r="M685" s="306"/>
      <c r="N685" s="306"/>
      <c r="O685" s="306"/>
      <c r="P685" s="1"/>
      <c r="T685" s="110"/>
      <c r="U685" s="520" t="s">
        <v>102</v>
      </c>
      <c r="V685" s="520"/>
      <c r="W685" s="520"/>
      <c r="X685" s="520"/>
      <c r="Y685" s="520"/>
      <c r="Z685" s="139"/>
      <c r="AA685" s="145"/>
      <c r="AB685" s="194">
        <f>IFERROR(IF('Mon Entreprise'!K8&gt;Annexes!Q29,0,IF('Mon Entreprise'!K8&gt;Annexes!Q26,1,1-'Mon Entreprise'!M114/AB675)),0)</f>
        <v>0</v>
      </c>
      <c r="AC685" s="1"/>
      <c r="AD685" s="1"/>
      <c r="AE685" s="13"/>
    </row>
    <row r="686" spans="2:31" ht="16.5" hidden="1" customHeight="1">
      <c r="B686" s="103"/>
      <c r="C686" s="505" t="s">
        <v>512</v>
      </c>
      <c r="D686" s="505"/>
      <c r="E686" s="505"/>
      <c r="F686" s="505"/>
      <c r="G686" s="505"/>
      <c r="H686" s="505"/>
      <c r="I686" s="505"/>
      <c r="J686" s="505"/>
      <c r="K686" s="505"/>
      <c r="L686" s="505"/>
      <c r="M686" s="505"/>
      <c r="N686" s="505"/>
      <c r="O686" s="505"/>
      <c r="P686" s="1"/>
      <c r="T686" s="110"/>
      <c r="U686" s="520" t="s">
        <v>109</v>
      </c>
      <c r="V686" s="520"/>
      <c r="W686" s="520"/>
      <c r="X686" s="520"/>
      <c r="Y686" s="520"/>
      <c r="Z686" s="139"/>
      <c r="AA686" s="145"/>
      <c r="AB686" s="194">
        <f>IFERROR(IF(Annexes!O27&gt;'Mon Entreprise'!K8,1-'Mon Entreprise'!M98/'Mon Entreprise'!I98,0),0)</f>
        <v>0</v>
      </c>
      <c r="AC686" s="1"/>
      <c r="AD686" s="1"/>
      <c r="AE686" s="13"/>
    </row>
    <row r="687" spans="2:31" ht="16.5" hidden="1" customHeight="1">
      <c r="B687" s="103"/>
      <c r="C687" s="505"/>
      <c r="D687" s="505"/>
      <c r="E687" s="505"/>
      <c r="F687" s="505"/>
      <c r="G687" s="505"/>
      <c r="H687" s="505"/>
      <c r="I687" s="505"/>
      <c r="J687" s="505"/>
      <c r="K687" s="505"/>
      <c r="L687" s="505"/>
      <c r="M687" s="505"/>
      <c r="N687" s="505"/>
      <c r="O687" s="505"/>
      <c r="P687" s="1"/>
      <c r="T687" s="110"/>
      <c r="U687" s="368"/>
      <c r="V687" s="368"/>
      <c r="W687" s="368"/>
      <c r="X687" s="368"/>
      <c r="Y687" s="368"/>
      <c r="Z687" s="139"/>
      <c r="AA687" s="145"/>
      <c r="AB687" s="194"/>
      <c r="AC687" s="1"/>
      <c r="AD687" s="1"/>
      <c r="AE687" s="13"/>
    </row>
    <row r="688" spans="2:31" ht="16.5" hidden="1" customHeight="1">
      <c r="B688" s="103"/>
      <c r="C688" s="505"/>
      <c r="D688" s="505"/>
      <c r="E688" s="505"/>
      <c r="F688" s="505"/>
      <c r="G688" s="505"/>
      <c r="H688" s="505"/>
      <c r="I688" s="505"/>
      <c r="J688" s="505"/>
      <c r="K688" s="505"/>
      <c r="L688" s="505"/>
      <c r="M688" s="505"/>
      <c r="N688" s="505"/>
      <c r="O688" s="505"/>
      <c r="P688" s="1"/>
      <c r="T688" s="110"/>
      <c r="U688" s="368"/>
      <c r="V688" s="368"/>
      <c r="W688" s="368"/>
      <c r="X688" s="368"/>
      <c r="Y688" s="368"/>
      <c r="Z688" s="139"/>
      <c r="AA688" s="145"/>
      <c r="AB688" s="194"/>
      <c r="AC688" s="1"/>
      <c r="AD688" s="1"/>
      <c r="AE688" s="13"/>
    </row>
    <row r="689" spans="1:31" ht="16.5" hidden="1" customHeight="1">
      <c r="B689" s="103"/>
      <c r="C689" s="505"/>
      <c r="D689" s="505"/>
      <c r="E689" s="505"/>
      <c r="F689" s="505"/>
      <c r="G689" s="505"/>
      <c r="H689" s="505"/>
      <c r="I689" s="505"/>
      <c r="J689" s="505"/>
      <c r="K689" s="505"/>
      <c r="L689" s="505"/>
      <c r="M689" s="505"/>
      <c r="N689" s="505"/>
      <c r="O689" s="505"/>
      <c r="P689" s="1"/>
      <c r="T689" s="14"/>
      <c r="U689" s="521" t="s">
        <v>8</v>
      </c>
      <c r="V689" s="521"/>
      <c r="W689" s="521"/>
      <c r="X689" s="521"/>
      <c r="Y689" s="521"/>
      <c r="Z689" s="1"/>
      <c r="AA689" s="14"/>
      <c r="AB689" s="367" t="str">
        <f>IF((AND(Annexes!F5&gt;1,Annexes!F5&lt;=Annexes!H6,AB696&gt;=0.1)),"OUI","NON")</f>
        <v>NON</v>
      </c>
      <c r="AC689" s="1"/>
      <c r="AD689" s="1"/>
      <c r="AE689" s="13"/>
    </row>
    <row r="690" spans="1:31" ht="22.5" hidden="1" customHeight="1">
      <c r="B690" s="103"/>
      <c r="D690" s="564" t="s">
        <v>513</v>
      </c>
      <c r="E690" s="564"/>
      <c r="F690" s="564"/>
      <c r="G690" s="564"/>
      <c r="H690" s="564"/>
      <c r="I690" s="564"/>
      <c r="J690" s="564"/>
      <c r="K690" s="564"/>
      <c r="L690" s="564"/>
      <c r="M690" s="564"/>
      <c r="N690" s="564"/>
      <c r="O690" s="564"/>
      <c r="P690" s="1"/>
      <c r="T690" s="14"/>
      <c r="U690" s="369"/>
      <c r="V690" s="369"/>
      <c r="W690" s="369"/>
      <c r="X690" s="369"/>
      <c r="Y690" s="369" t="s">
        <v>9</v>
      </c>
      <c r="Z690" s="1"/>
      <c r="AA690" s="14"/>
      <c r="AB690" s="367" t="str">
        <f>IF(AND(Annexes!F7&gt;1,Annexes!F7&lt;=Annexes!H8,AB696&gt;=0.1),"OUI","NON")</f>
        <v>NON</v>
      </c>
      <c r="AC690" s="1"/>
      <c r="AD690" s="1"/>
      <c r="AE690" s="13"/>
    </row>
    <row r="691" spans="1:31" ht="16.5" hidden="1" customHeight="1">
      <c r="B691" s="103"/>
      <c r="C691" s="372"/>
      <c r="D691" s="306"/>
      <c r="E691" s="522" t="str">
        <f>IF(AB694="NON","",IF(OR(AB689="OUI",AB691="OUI",AND(AB690="OUI",OR(AB684&gt;=Annexes!P5,AB685&gt;=Annexes!P5,'Mes Aides'!AB145&gt;=0.1))),"",IF(AND(AB690="OUI",OR(AB684&lt;Annexes!P5,AB685&lt;Annexes!P5,'Mes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691" s="522"/>
      <c r="G691" s="522"/>
      <c r="H691" s="522"/>
      <c r="I691" s="522"/>
      <c r="J691" s="522"/>
      <c r="K691" s="522"/>
      <c r="L691" s="522"/>
      <c r="M691" s="522"/>
      <c r="N691" s="522"/>
      <c r="O691" s="522"/>
      <c r="P691" s="1"/>
      <c r="T691" s="491" t="s">
        <v>474</v>
      </c>
      <c r="U691" s="490"/>
      <c r="V691" s="490"/>
      <c r="W691" s="490"/>
      <c r="X691" s="490"/>
      <c r="Y691" s="490"/>
      <c r="Z691" s="1"/>
      <c r="AA691" s="14"/>
      <c r="AB691" s="367" t="str">
        <f>IF(AND(Annexes!M24=TRUE,AB696&lt;0.85),"OUI","NON")</f>
        <v>NON</v>
      </c>
      <c r="AC691" s="1"/>
      <c r="AD691" s="1"/>
      <c r="AE691" s="13"/>
    </row>
    <row r="692" spans="1:31" ht="16.5" hidden="1" customHeight="1">
      <c r="B692" s="103"/>
      <c r="C692" s="372"/>
      <c r="D692" s="306"/>
      <c r="E692" s="522"/>
      <c r="F692" s="522"/>
      <c r="G692" s="522"/>
      <c r="H692" s="522"/>
      <c r="I692" s="522"/>
      <c r="J692" s="522"/>
      <c r="K692" s="522"/>
      <c r="L692" s="522"/>
      <c r="M692" s="522"/>
      <c r="N692" s="522"/>
      <c r="O692" s="522"/>
      <c r="P692" s="1"/>
      <c r="T692" s="491" t="s">
        <v>509</v>
      </c>
      <c r="U692" s="490"/>
      <c r="V692" s="490"/>
      <c r="W692" s="490"/>
      <c r="X692" s="490"/>
      <c r="Y692" s="490"/>
      <c r="Z692" s="1"/>
      <c r="AA692" s="14"/>
      <c r="AB692" s="367" t="b">
        <f>IF(OR(AND(Annexes!M41=TRUE,AB696&gt;=0.2),AND(Annexes!M42=TRUE,AB696&gt;=0.5)),TRUE,FALSE)</f>
        <v>0</v>
      </c>
      <c r="AC692" s="1"/>
      <c r="AD692" s="1"/>
      <c r="AE692" s="13"/>
    </row>
    <row r="693" spans="1:31" ht="16.5" hidden="1" customHeight="1">
      <c r="A693" s="99"/>
      <c r="B693" s="103"/>
      <c r="C693" s="372"/>
      <c r="D693" s="523" t="str">
        <f>IFERROR(IF('Mon Entreprise'!K8&gt;=Annexes!O20,IF(AB662&gt;=AB664,"- Le CA de référence est celui de Septembre 2019, soit une perte de "&amp;ROUND(AB662,0)&amp;" €"&amp;" ==&gt; "&amp;ROUND(AE662*100,0)&amp;" %","- Le CA de référence est celui de la création, soit une perte de "&amp;ROUND(AB664,0)&amp;" €"&amp;" ==&gt; "&amp;ROUND(AE664*100,0)&amp;" %"),IF(AB662&gt;=AB663,"- Le CA de référence est celui de Septembre 2019, soit une perte de "&amp;ROUND(AB662,0)&amp;" €"&amp;" ==&gt; "&amp;ROUND(AE662*100,0)&amp;" %","- Le CA de référence est celui de l'exercice 2019, soit une perte de "&amp;ROUND(AB663,0)&amp;" €"&amp;" ==&gt; "&amp;ROUND(AE663*100,0)&amp;" %")),"")</f>
        <v>- Le CA de référence est celui de Septembre 2019, soit une perte de 0 € ==&gt; 0 %</v>
      </c>
      <c r="E693" s="523"/>
      <c r="F693" s="523"/>
      <c r="G693" s="523"/>
      <c r="H693" s="523"/>
      <c r="I693" s="523"/>
      <c r="J693" s="523"/>
      <c r="K693" s="523"/>
      <c r="L693" s="523"/>
      <c r="M693" s="523"/>
      <c r="N693" s="523"/>
      <c r="O693" s="523"/>
      <c r="P693" s="1"/>
      <c r="T693" s="14"/>
      <c r="U693" s="367"/>
      <c r="V693" s="367"/>
      <c r="W693" s="367"/>
      <c r="X693" s="367"/>
      <c r="Y693" s="367" t="s">
        <v>505</v>
      </c>
      <c r="Z693" s="1"/>
      <c r="AA693" s="14"/>
      <c r="AB693" s="367" t="b">
        <f>IF(AND(Annexes!M43=TRUE,AB696&gt;=0.2),TRUE,FALSE)</f>
        <v>0</v>
      </c>
      <c r="AC693" s="1"/>
      <c r="AD693" s="1"/>
      <c r="AE693" s="13"/>
    </row>
    <row r="694" spans="1:31" ht="16.5" hidden="1" customHeight="1">
      <c r="A694" s="99"/>
      <c r="B694" s="103"/>
      <c r="C694" s="372"/>
      <c r="D694" s="524" t="str">
        <f>IFERROR(IF('Mon Entreprise'!K8&gt;=Annexes!O20,"",IF(AB662&lt;AB663,"A noter qu'il convient de choisir l'option retenue par l'entreprise lors de sa demande au titre du mois Février ou a défaut celui du mois de Mars, Avril, Mai, Juin, Juillet, ou Août 2021, si le CA de référence était celui de février (...) 2019,"&amp;" il convient de prendre celui de Septembre 2019, soit "&amp;ROUND(AB662,0)&amp;" €"&amp;" ==&gt; "&amp;ROUND(AE662*100,0)&amp;" %","A noter qu'il convient de choisir l'option retenue par l'entreprise lors de sa demande"&amp;" au titre du mois Février  ou a défaut celui du mois de Mars, Avril, Mai, Juin, Juillet ou Août 2021, si le CA de référence était celui de l'exercice 2019, il convient de prendre celui de l'exercie 2019, soit une perte de "&amp;ROUND(AB663,0)&amp;" €"&amp;" ==&gt; "&amp;ROUND(AE663*100,0)&amp;" %")),"")</f>
        <v>A noter qu'il convient de choisir l'option retenue par l'entreprise lors de sa demande au titre du mois Février  ou a défaut celui du mois de Mars, Avril, Mai, Juin, Juillet ou Août 2021, si le CA de référence était celui de l'exercice 2019, il convient de prendre celui de l'exercie 2019, soit une perte de 0 € ==&gt; 0 %</v>
      </c>
      <c r="E694" s="524"/>
      <c r="F694" s="524"/>
      <c r="G694" s="524"/>
      <c r="H694" s="524"/>
      <c r="I694" s="524"/>
      <c r="J694" s="524"/>
      <c r="K694" s="524"/>
      <c r="L694" s="524"/>
      <c r="M694" s="524"/>
      <c r="N694" s="524"/>
      <c r="O694" s="524"/>
      <c r="P694" s="1"/>
      <c r="T694" s="14"/>
      <c r="U694" s="525" t="s">
        <v>72</v>
      </c>
      <c r="V694" s="525"/>
      <c r="W694" s="525"/>
      <c r="X694" s="525"/>
      <c r="Y694" s="525"/>
      <c r="Z694" s="139"/>
      <c r="AA694" s="145"/>
      <c r="AB694" s="370" t="str">
        <f>IF(AB674="Oui","Oui","Non")</f>
        <v>Oui</v>
      </c>
      <c r="AC694" s="139"/>
      <c r="AD694" s="1"/>
      <c r="AE694" s="13"/>
    </row>
    <row r="695" spans="1:31" ht="16.5" hidden="1" customHeight="1">
      <c r="A695" s="99"/>
      <c r="B695" s="103"/>
      <c r="C695" s="372"/>
      <c r="D695" s="524"/>
      <c r="E695" s="524"/>
      <c r="F695" s="524"/>
      <c r="G695" s="524"/>
      <c r="H695" s="524"/>
      <c r="I695" s="524"/>
      <c r="J695" s="524"/>
      <c r="K695" s="524"/>
      <c r="L695" s="524"/>
      <c r="M695" s="524"/>
      <c r="N695" s="524"/>
      <c r="O695" s="524"/>
      <c r="P695" s="1"/>
      <c r="T695" s="14"/>
      <c r="U695" s="525" t="s">
        <v>84</v>
      </c>
      <c r="V695" s="525"/>
      <c r="W695" s="525"/>
      <c r="X695" s="525"/>
      <c r="Y695" s="525"/>
      <c r="Z695" s="139"/>
      <c r="AA695" s="145"/>
      <c r="AB695" s="370">
        <f>IF('Mon Entreprise'!K8&gt;=Annexes!O20,IF(AB662&gt;=AB664,AB662,AB664),IF(AB662&gt;=AB663,AB662,AB663))</f>
        <v>0</v>
      </c>
      <c r="AC695" s="139"/>
      <c r="AD695" s="1"/>
      <c r="AE695" s="13"/>
    </row>
    <row r="696" spans="1:31" ht="16.5" hidden="1" customHeight="1">
      <c r="B696" s="103"/>
      <c r="C696" s="372"/>
      <c r="D696" s="215"/>
      <c r="E696" s="365"/>
      <c r="F696" s="365"/>
      <c r="G696" s="365"/>
      <c r="H696" s="365"/>
      <c r="I696" s="365"/>
      <c r="J696" s="365"/>
      <c r="K696" s="365"/>
      <c r="L696" s="365"/>
      <c r="M696" s="365"/>
      <c r="N696" s="365"/>
      <c r="O696" s="365"/>
      <c r="P696" s="1"/>
      <c r="T696" s="14"/>
      <c r="U696" s="525" t="s">
        <v>85</v>
      </c>
      <c r="V696" s="525"/>
      <c r="W696" s="525"/>
      <c r="X696" s="525"/>
      <c r="Y696" s="525"/>
      <c r="Z696" s="139"/>
      <c r="AA696" s="145"/>
      <c r="AB696" s="370">
        <f>IF('Mon Entreprise'!K8&gt;=Annexes!O20,IF(AB662&gt;=AB664,AE662,AE664),IF(AB662&gt;=AB663,AE662,AE663))</f>
        <v>0</v>
      </c>
      <c r="AC696" s="139"/>
      <c r="AD696" s="1"/>
      <c r="AE696" s="13"/>
    </row>
    <row r="697" spans="1:31" ht="16.5" hidden="1" customHeight="1" thickBot="1">
      <c r="B697" s="103"/>
      <c r="C697" s="372"/>
      <c r="D697" s="365"/>
      <c r="E697" s="365"/>
      <c r="F697" s="365"/>
      <c r="G697" s="365"/>
      <c r="H697" s="365"/>
      <c r="I697" s="365"/>
      <c r="J697" s="365"/>
      <c r="K697" s="365"/>
      <c r="L697" s="365"/>
      <c r="M697" s="365"/>
      <c r="N697" s="365"/>
      <c r="O697" s="365"/>
      <c r="P697" s="1"/>
      <c r="T697" s="14"/>
      <c r="U697" s="502" t="s">
        <v>74</v>
      </c>
      <c r="V697" s="502"/>
      <c r="W697" s="502"/>
      <c r="X697" s="502"/>
      <c r="Y697" s="502"/>
      <c r="Z697" s="139"/>
      <c r="AA697" s="145"/>
      <c r="AB697" s="370">
        <v>1</v>
      </c>
      <c r="AC697" s="139"/>
      <c r="AD697" s="1"/>
      <c r="AE697" s="13"/>
    </row>
    <row r="698" spans="1:31" ht="16.5" hidden="1" customHeight="1">
      <c r="B698" s="103"/>
      <c r="C698" s="372"/>
      <c r="D698" s="527" t="str">
        <f>IFERROR(IF(AB694="NON","Vous avez débuté votre activité après le 31 Janvier 2020, vous ne pouvez donc pas bénéficier de cette aide",IF(OR(AB689="OUI",AB691="OUI",AND(AB690="OUI",OR(AB684&lt;Annexes!P5,AB685&lt;Annexes!P5,'Mes Aides'!AB198&lt;0.1))),IF(AND(0.2*AB699&gt;Annexes!O8,0.2*AB698&gt;Annexes!O8),"Dans votre cas, l'aide est plafonnée, à "&amp;Annexes!O8&amp;" € pour le mois de Septembre",IF(0.2*AB699&gt;=0.2*AB698,"Dans votre cas, 20 % de la perte est supérieur à 20 % du CA, l'aide est donc plafonnée à 20 % du CA, soit "&amp;ROUND(0.2*AB698,0)&amp;" € pour le mois de Septembre","Dans votre cas, 20% de la perte est inférieure à 20 % du CA, l'aide est donc plafonnée à 20 % de la perte, soit "&amp;ROUND(0.2*AB699,0)&amp;" € pour le mois de Septembre")),"Vous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698" s="509"/>
      <c r="F698" s="509"/>
      <c r="G698" s="509"/>
      <c r="H698" s="509"/>
      <c r="I698" s="509"/>
      <c r="J698" s="509"/>
      <c r="K698" s="509"/>
      <c r="L698" s="509"/>
      <c r="M698" s="509"/>
      <c r="N698" s="509"/>
      <c r="O698" s="510"/>
      <c r="P698" s="1"/>
      <c r="T698" s="14"/>
      <c r="U698" s="502" t="s">
        <v>80</v>
      </c>
      <c r="V698" s="502"/>
      <c r="W698" s="502"/>
      <c r="X698" s="502"/>
      <c r="Y698" s="502"/>
      <c r="Z698" s="139"/>
      <c r="AA698" s="145"/>
      <c r="AB698" s="370">
        <f>IF('Mon Entreprise'!K8&gt;=Annexes!O20,IF(AB662&gt;=AB664,Y662,Y664),IF(AB662&gt;=AB663,Y662,Y663))</f>
        <v>0</v>
      </c>
      <c r="AC698" s="139"/>
      <c r="AD698" s="1"/>
      <c r="AE698" s="13"/>
    </row>
    <row r="699" spans="1:31" ht="16.5" hidden="1" customHeight="1">
      <c r="B699" s="173"/>
      <c r="C699" s="372"/>
      <c r="D699" s="511"/>
      <c r="E699" s="512"/>
      <c r="F699" s="512"/>
      <c r="G699" s="512"/>
      <c r="H699" s="512"/>
      <c r="I699" s="512"/>
      <c r="J699" s="512"/>
      <c r="K699" s="512"/>
      <c r="L699" s="512"/>
      <c r="M699" s="512"/>
      <c r="N699" s="512"/>
      <c r="O699" s="513"/>
      <c r="P699" s="1"/>
      <c r="T699" s="14"/>
      <c r="U699" s="490" t="s">
        <v>104</v>
      </c>
      <c r="V699" s="490"/>
      <c r="W699" s="490"/>
      <c r="X699" s="490"/>
      <c r="Y699" s="490"/>
      <c r="Z699" s="1"/>
      <c r="AA699" s="14"/>
      <c r="AB699" s="367">
        <f>IF(AB697=1,AB695,IF(AB695*AB697&gt;1500,IF(AB695&gt;1500,AB695*AB697,"Impossible"),IF(AB695&lt;1500,AB695,1500)))</f>
        <v>0</v>
      </c>
      <c r="AC699" s="1"/>
      <c r="AD699" s="1"/>
      <c r="AE699" s="13"/>
    </row>
    <row r="700" spans="1:31" ht="16.5" hidden="1" customHeight="1">
      <c r="B700" s="103"/>
      <c r="C700" s="372"/>
      <c r="D700" s="511"/>
      <c r="E700" s="512"/>
      <c r="F700" s="512"/>
      <c r="G700" s="512"/>
      <c r="H700" s="512"/>
      <c r="I700" s="512"/>
      <c r="J700" s="512"/>
      <c r="K700" s="512"/>
      <c r="L700" s="512"/>
      <c r="M700" s="512"/>
      <c r="N700" s="512"/>
      <c r="O700" s="513"/>
      <c r="P700" s="1"/>
      <c r="T700" s="14"/>
      <c r="U700" s="367"/>
      <c r="V700" s="367"/>
      <c r="W700" s="367"/>
      <c r="X700" s="367"/>
      <c r="Y700" s="367"/>
      <c r="Z700" s="1"/>
      <c r="AA700" s="1"/>
      <c r="AB700" s="1"/>
      <c r="AC700" s="1"/>
      <c r="AD700" s="1"/>
      <c r="AE700" s="13"/>
    </row>
    <row r="701" spans="1:31" ht="16.5" hidden="1" customHeight="1" thickBot="1">
      <c r="B701" s="103"/>
      <c r="C701" s="372"/>
      <c r="D701" s="514"/>
      <c r="E701" s="515"/>
      <c r="F701" s="515"/>
      <c r="G701" s="515"/>
      <c r="H701" s="515"/>
      <c r="I701" s="515"/>
      <c r="J701" s="515"/>
      <c r="K701" s="515"/>
      <c r="L701" s="515"/>
      <c r="M701" s="515"/>
      <c r="N701" s="515"/>
      <c r="O701" s="516"/>
      <c r="P701" s="1"/>
      <c r="T701" s="14"/>
      <c r="U701" s="490"/>
      <c r="V701" s="490"/>
      <c r="W701" s="490"/>
      <c r="X701" s="490"/>
      <c r="Y701" s="490"/>
      <c r="Z701" s="1"/>
      <c r="AA701" s="1"/>
      <c r="AB701" s="1"/>
      <c r="AC701" s="1"/>
      <c r="AD701" s="1"/>
      <c r="AE701" s="13"/>
    </row>
    <row r="702" spans="1:31" ht="16.5" hidden="1" customHeight="1">
      <c r="B702" s="103"/>
      <c r="C702" s="372"/>
      <c r="D702" s="565" t="s">
        <v>528</v>
      </c>
      <c r="E702" s="565"/>
      <c r="F702" s="565"/>
      <c r="G702" s="565"/>
      <c r="H702" s="565"/>
      <c r="I702" s="565"/>
      <c r="J702" s="565"/>
      <c r="K702" s="565"/>
      <c r="L702" s="565"/>
      <c r="M702" s="565"/>
      <c r="N702" s="565"/>
      <c r="O702" s="565"/>
      <c r="P702" s="1"/>
      <c r="T702" s="14"/>
      <c r="U702" s="367"/>
      <c r="V702" s="367"/>
      <c r="W702" s="367"/>
      <c r="X702" s="367"/>
      <c r="Y702" s="367"/>
      <c r="Z702" s="1"/>
      <c r="AA702" s="1"/>
      <c r="AB702" s="1"/>
      <c r="AC702" s="1"/>
      <c r="AD702" s="1"/>
      <c r="AE702" s="13"/>
    </row>
    <row r="703" spans="1:31" ht="16.5" hidden="1" customHeight="1">
      <c r="B703" s="103"/>
      <c r="C703" s="169"/>
      <c r="D703" s="174"/>
      <c r="E703" s="174"/>
      <c r="F703" s="174"/>
      <c r="G703" s="174"/>
      <c r="H703" s="174"/>
      <c r="I703" s="174"/>
      <c r="J703" s="174"/>
      <c r="K703" s="174"/>
      <c r="L703" s="174"/>
      <c r="M703" s="174"/>
      <c r="N703" s="174"/>
      <c r="O703" s="174"/>
      <c r="P703" s="1"/>
      <c r="T703" s="14"/>
      <c r="U703" s="367"/>
      <c r="V703" s="367"/>
      <c r="W703" s="367"/>
      <c r="X703" s="367"/>
      <c r="Y703" s="367"/>
      <c r="Z703" s="1"/>
      <c r="AA703" s="1"/>
      <c r="AB703" s="1"/>
      <c r="AC703" s="1"/>
      <c r="AD703" s="1"/>
      <c r="AE703" s="13"/>
    </row>
    <row r="704" spans="1:31" ht="16.5" hidden="1" customHeight="1">
      <c r="B704" s="103"/>
      <c r="C704" s="372"/>
      <c r="D704" s="365"/>
      <c r="E704" s="365"/>
      <c r="F704" s="365"/>
      <c r="G704" s="365"/>
      <c r="H704" s="365"/>
      <c r="I704" s="365"/>
      <c r="J704" s="365"/>
      <c r="K704" s="365"/>
      <c r="L704" s="365"/>
      <c r="M704" s="365"/>
      <c r="N704" s="365"/>
      <c r="O704" s="365"/>
      <c r="P704" s="1"/>
      <c r="T704" s="14"/>
      <c r="U704" s="1"/>
      <c r="V704" s="1"/>
      <c r="W704" s="1"/>
      <c r="X704" s="1"/>
      <c r="Y704" s="1"/>
      <c r="Z704" s="1"/>
      <c r="AA704" s="1"/>
      <c r="AB704" s="1"/>
      <c r="AC704" s="1"/>
      <c r="AD704" s="1"/>
      <c r="AE704" s="13"/>
    </row>
    <row r="705" spans="2:31" ht="16.5" hidden="1" customHeight="1">
      <c r="B705" s="103"/>
      <c r="C705" s="529" t="s">
        <v>511</v>
      </c>
      <c r="D705" s="529"/>
      <c r="E705" s="529"/>
      <c r="F705" s="529"/>
      <c r="G705" s="529"/>
      <c r="H705" s="529"/>
      <c r="I705" s="529"/>
      <c r="J705" s="529"/>
      <c r="K705" s="529"/>
      <c r="L705" s="529"/>
      <c r="M705" s="529"/>
      <c r="N705" s="529"/>
      <c r="O705" s="529"/>
      <c r="P705" s="1"/>
      <c r="T705" s="14"/>
      <c r="U705" s="1"/>
      <c r="V705" s="1"/>
      <c r="W705" s="1"/>
      <c r="X705" s="1"/>
      <c r="Y705" s="1"/>
      <c r="Z705" s="1"/>
      <c r="AA705" s="1"/>
      <c r="AB705" s="1"/>
      <c r="AC705" s="1"/>
      <c r="AD705" s="1"/>
      <c r="AE705" s="13"/>
    </row>
    <row r="706" spans="2:31" ht="16.5" hidden="1" customHeight="1">
      <c r="B706" s="103"/>
      <c r="C706" s="529"/>
      <c r="D706" s="529"/>
      <c r="E706" s="529"/>
      <c r="F706" s="529"/>
      <c r="G706" s="529"/>
      <c r="H706" s="529"/>
      <c r="I706" s="529"/>
      <c r="J706" s="529"/>
      <c r="K706" s="529"/>
      <c r="L706" s="529"/>
      <c r="M706" s="529"/>
      <c r="N706" s="529"/>
      <c r="O706" s="529"/>
      <c r="P706" s="1"/>
      <c r="T706" s="14"/>
      <c r="U706" s="1"/>
      <c r="V706" s="1"/>
      <c r="W706" s="1"/>
      <c r="X706" s="1"/>
      <c r="Y706" s="1"/>
      <c r="Z706" s="1"/>
      <c r="AA706" s="1"/>
      <c r="AB706" s="1"/>
      <c r="AC706" s="1"/>
      <c r="AD706" s="1"/>
      <c r="AE706" s="13"/>
    </row>
    <row r="707" spans="2:31" ht="16.5" hidden="1" customHeight="1">
      <c r="B707" s="173"/>
      <c r="C707" s="372"/>
      <c r="D707" s="306"/>
      <c r="E707" s="528" t="str">
        <f>IF(AB694="NON","",IF(AB692=TRUE,"","L'entreprise n'a pas été en fermeture Administrative avec 20 % de perte de CA ou fermeture Administrative de 21 jours avec 50 % de perte  de CA"))</f>
        <v>L'entreprise n'a pas été en fermeture Administrative avec 20 % de perte de CA ou fermeture Administrative de 21 jours avec 50 % de perte  de CA</v>
      </c>
      <c r="F707" s="528"/>
      <c r="G707" s="528"/>
      <c r="H707" s="528"/>
      <c r="I707" s="528"/>
      <c r="J707" s="528"/>
      <c r="K707" s="528"/>
      <c r="L707" s="528"/>
      <c r="M707" s="528"/>
      <c r="N707" s="528"/>
      <c r="O707" s="528"/>
      <c r="P707" s="1"/>
      <c r="T707" s="14"/>
      <c r="U707" s="502" t="s">
        <v>82</v>
      </c>
      <c r="V707" s="502"/>
      <c r="W707" s="502"/>
      <c r="X707" s="502"/>
      <c r="Y707" s="502"/>
      <c r="Z707" s="68"/>
      <c r="AA707" s="1"/>
      <c r="AB707" s="1">
        <f>IFERROR(IF(AB674="Non",0,IF(AND(AB693=TRUE,AB677&gt;=0.5),IF(AB676&gt;Annexes!O5,Annexes!O5,ROUND(AB676,0)),0)),0)</f>
        <v>0</v>
      </c>
      <c r="AC707" s="1"/>
      <c r="AD707" s="1"/>
      <c r="AE707" s="13"/>
    </row>
    <row r="708" spans="2:31" ht="16.5" hidden="1" customHeight="1">
      <c r="B708" s="173"/>
      <c r="C708" s="372"/>
      <c r="D708" s="306"/>
      <c r="E708" s="528"/>
      <c r="F708" s="528"/>
      <c r="G708" s="528"/>
      <c r="H708" s="528"/>
      <c r="I708" s="528"/>
      <c r="J708" s="528"/>
      <c r="K708" s="528"/>
      <c r="L708" s="528"/>
      <c r="M708" s="528"/>
      <c r="N708" s="528"/>
      <c r="O708" s="528"/>
      <c r="P708" s="1"/>
      <c r="T708" s="14"/>
      <c r="U708" s="502" t="s">
        <v>478</v>
      </c>
      <c r="V708" s="502"/>
      <c r="W708" s="502"/>
      <c r="X708" s="502"/>
      <c r="Y708" s="502"/>
      <c r="Z708" s="68"/>
      <c r="AA708" s="1"/>
      <c r="AB708" s="1">
        <f>IFERROR(IF(AB694="NON",0,IF(OR(AB689="OUI",AB691="OUI",AND(AB690="OUI",OR(AB684&lt;Annexes!P5,AB685&lt;Annexes!P5,'Mes Aides'!AB198&lt;0.1))),IF(AND(0.2*AB699,0.2*AB698)&lt;Annexes!O8,Annexes!O8,IF(0.2*AB699&gt;=0.2*AB698,ROUND(0.2*AB698,0),ROUND(0.2*AB699,0))),0)),0)</f>
        <v>0</v>
      </c>
      <c r="AC708" s="1"/>
      <c r="AD708" s="1"/>
      <c r="AE708" s="13"/>
    </row>
    <row r="709" spans="2:31" ht="15" hidden="1" customHeight="1">
      <c r="B709" s="173"/>
      <c r="C709" s="372"/>
      <c r="D709" s="306"/>
      <c r="E709" s="353"/>
      <c r="F709" s="353"/>
      <c r="G709" s="353"/>
      <c r="H709" s="353"/>
      <c r="I709" s="353"/>
      <c r="J709" s="353"/>
      <c r="K709" s="353"/>
      <c r="L709" s="353"/>
      <c r="M709" s="353"/>
      <c r="N709" s="353"/>
      <c r="O709" s="353"/>
      <c r="P709" s="1"/>
      <c r="T709" s="14"/>
      <c r="U709" s="502" t="s">
        <v>478</v>
      </c>
      <c r="V709" s="502"/>
      <c r="W709" s="502"/>
      <c r="X709" s="502"/>
      <c r="Y709" s="502"/>
      <c r="Z709" s="68"/>
      <c r="AA709" s="1"/>
      <c r="AB709" s="1">
        <f>IFERROR(IF(AB694="NON",0,IF(AB692=TRUE,IF(AB698*0.2&gt;Annexes!O8,Annexes!O8,ROUND(AB698*0.2,0)),0)),0)</f>
        <v>0</v>
      </c>
      <c r="AC709" s="1"/>
      <c r="AD709" s="1"/>
      <c r="AE709" s="13"/>
    </row>
    <row r="710" spans="2:31" ht="15" hidden="1" customHeight="1">
      <c r="B710" s="173"/>
      <c r="C710" s="372"/>
      <c r="D710" s="417" t="str">
        <f>IFERROR(IF('Mon Entreprise'!K8&gt;=Annexes!O20,IF(AB662&gt;=AB664,"- Le CA de référence est celui de Septembre 2019, soit une perte de "&amp;ROUND(AB662,0)&amp;" €"&amp;" ==&gt; "&amp;ROUND(AE662*100,0)&amp;" %","- Le CA de référence est celui de la création, soit une perte de "&amp;ROUND(AB664,0)&amp;" €"&amp;" ==&gt; "&amp;ROUND(AE664*100,0)&amp;" %"),IF(AB662&gt;=AB663,"- Le CA de référence est celui de Septembre 2019, soit une perte de "&amp;ROUND(AB662,0)&amp;" €"&amp;" ==&gt; "&amp;ROUND(AE662*100,0)&amp;" %","- Le CA de référence est celui de l'exercice 2019, soit une perte de "&amp;ROUND(AB663,0)&amp;" €"&amp;" ==&gt; "&amp;ROUND(AE663*100,0)&amp;" %")),"")</f>
        <v>- Le CA de référence est celui de Septembre 2019, soit une perte de 0 € ==&gt; 0 %</v>
      </c>
      <c r="E710" s="417"/>
      <c r="F710" s="417"/>
      <c r="G710" s="417"/>
      <c r="H710" s="417"/>
      <c r="I710" s="417"/>
      <c r="J710" s="417"/>
      <c r="K710" s="417"/>
      <c r="L710" s="417"/>
      <c r="M710" s="417"/>
      <c r="N710" s="417"/>
      <c r="O710" s="417"/>
      <c r="P710" s="365"/>
      <c r="Q710" s="365"/>
      <c r="T710" s="14"/>
      <c r="U710" s="1"/>
      <c r="V710" s="1"/>
      <c r="W710" s="1"/>
      <c r="X710" s="1"/>
      <c r="Y710" s="1"/>
      <c r="Z710" s="1"/>
      <c r="AA710" s="1"/>
      <c r="AB710" s="1"/>
      <c r="AC710" s="1"/>
      <c r="AD710" s="1"/>
      <c r="AE710" s="13"/>
    </row>
    <row r="711" spans="2:31" ht="16.5" hidden="1" customHeight="1">
      <c r="B711" s="173"/>
      <c r="C711" s="372"/>
      <c r="D711" s="524" t="str">
        <f>IFERROR(IF('Mon Entreprise'!K8&gt;=Annexes!O20,"",IF(AB662&lt;AB663,"A noter qu'il convient de choisir l'option retenue par l'entreprise lors de"&amp;" sa demande au titre du mois Février ou a défaut celui du mois de Mars, Avril, Mai, Juin, Juillet ou d'Août 2021, si le CA de référence était celui de février (...) 2019, il convient"&amp;" de prendre celui de Septembre 2019 (...), soit "&amp;ROUND(AB662,0)&amp;" €"&amp;" ==&gt; "&amp;ROUND(AE662*100,0)&amp;" %","A noter qu'il convient de choisir l'option"&amp;" retenue par l'entreprise lors de sa demande au titre du mois Février "&amp;"ou a défaut celui du mois de Mars, d'Avril, Mai, Juin, Juillet ou Août 2021, si le CA de référence était celui de l'exercice 2019, il convient de prendre"&amp;" celui de l'exercie 2019, soit une perte de "&amp;ROUND(AB663,0)&amp;" €"&amp;" ==&gt; "&amp;ROUND(AE663*100,0)&amp;" %")),"")</f>
        <v>A noter qu'il convient de choisir l'option retenue par l'entreprise lors de sa demande au titre du mois Février ou a défaut celui du mois de Mars, d'Avril, Mai, Juin, Juillet ou Août 2021, si le CA de référence était celui de l'exercice 2019, il convient de prendre celui de l'exercie 2019, soit une perte de 0 € ==&gt; 0 %</v>
      </c>
      <c r="E711" s="524"/>
      <c r="F711" s="524"/>
      <c r="G711" s="524"/>
      <c r="H711" s="524"/>
      <c r="I711" s="524"/>
      <c r="J711" s="524"/>
      <c r="K711" s="524"/>
      <c r="L711" s="524"/>
      <c r="M711" s="524"/>
      <c r="N711" s="524"/>
      <c r="O711" s="524"/>
      <c r="P711" s="365"/>
      <c r="Q711" s="365"/>
      <c r="T711" s="14"/>
      <c r="U711" s="1"/>
      <c r="V711" s="1"/>
      <c r="W711" s="1"/>
      <c r="X711" s="1"/>
      <c r="Y711" s="1"/>
      <c r="Z711" s="1"/>
      <c r="AA711" s="1"/>
      <c r="AB711" s="1"/>
      <c r="AC711" s="1"/>
      <c r="AD711" s="1"/>
      <c r="AE711" s="13"/>
    </row>
    <row r="712" spans="2:31" ht="16.5" hidden="1" customHeight="1">
      <c r="B712" s="173"/>
      <c r="C712" s="372"/>
      <c r="D712" s="524"/>
      <c r="E712" s="524"/>
      <c r="F712" s="524"/>
      <c r="G712" s="524"/>
      <c r="H712" s="524"/>
      <c r="I712" s="524"/>
      <c r="J712" s="524"/>
      <c r="K712" s="524"/>
      <c r="L712" s="524"/>
      <c r="M712" s="524"/>
      <c r="N712" s="524"/>
      <c r="O712" s="524"/>
      <c r="P712" s="365"/>
      <c r="Q712" s="365"/>
      <c r="T712" s="14"/>
      <c r="U712" s="1"/>
      <c r="V712" s="1"/>
      <c r="W712" s="1"/>
      <c r="X712" s="1"/>
      <c r="Y712" s="1"/>
      <c r="Z712" s="1"/>
      <c r="AA712" s="1"/>
      <c r="AB712" s="1"/>
      <c r="AC712" s="1"/>
      <c r="AD712" s="1"/>
      <c r="AE712" s="13"/>
    </row>
    <row r="713" spans="2:31" ht="16.5" hidden="1" customHeight="1" thickBot="1">
      <c r="B713" s="168"/>
      <c r="C713" s="372"/>
      <c r="D713" s="205"/>
      <c r="E713" s="365"/>
      <c r="F713" s="365"/>
      <c r="G713" s="365"/>
      <c r="H713" s="365"/>
      <c r="I713" s="365"/>
      <c r="J713" s="365"/>
      <c r="K713" s="365"/>
      <c r="L713" s="365"/>
      <c r="M713" s="365"/>
      <c r="N713" s="365"/>
      <c r="O713" s="365"/>
      <c r="P713" s="365"/>
      <c r="Q713" s="365"/>
      <c r="T713" s="14"/>
      <c r="U713" s="1"/>
      <c r="V713" s="1"/>
      <c r="W713" s="1"/>
      <c r="X713" s="1"/>
      <c r="Y713" s="1"/>
      <c r="Z713" s="1"/>
      <c r="AA713" s="1"/>
      <c r="AB713" s="1"/>
      <c r="AC713" s="1"/>
      <c r="AD713" s="1"/>
      <c r="AE713" s="13"/>
    </row>
    <row r="714" spans="2:31" ht="16.5" hidden="1" customHeight="1">
      <c r="B714" s="103"/>
      <c r="C714" s="180"/>
      <c r="D714" s="526" t="str">
        <f>IFERROR(IF(AB694="NON","Vous avez débuté votre activité après le 31 Janvier 2020, vous ne pouvez donc pas bénéficier de cette aide",IF(AB692=TRUE,IF(AB698*0.2&gt;Annexes!O8,"Dans votre cas, l'aide est plafonnée, à "&amp;Annexes!O8&amp;" € pour le mois de Septembre","Dans votre cas, l'aide est plafonnée à 20 % du CA, soit "&amp;ROUND(AB698*0.2,0)&amp;" € pour le mois de Septembre"),"Vous ne faites pas partie des entreprises en fermeture Administrative avec 20 % de perte de CA ou fermeture Administrative avec 20 % de perte de CA ou en fermeture Administrative de 21 jours avec 50 % de perte de CA")),"Vous n'avez pas indiqué de chiffre d'affaires de référence")</f>
        <v>Vous ne faites pas partie des entreprises en fermeture Administrative avec 20 % de perte de CA ou fermeture Administrative avec 20 % de perte de CA ou en fermeture Administrative de 21 jours avec 50 % de perte de CA</v>
      </c>
      <c r="E714" s="509"/>
      <c r="F714" s="509"/>
      <c r="G714" s="509"/>
      <c r="H714" s="509"/>
      <c r="I714" s="509"/>
      <c r="J714" s="509"/>
      <c r="K714" s="509"/>
      <c r="L714" s="509"/>
      <c r="M714" s="509"/>
      <c r="N714" s="509"/>
      <c r="O714" s="510"/>
      <c r="P714" s="365"/>
      <c r="Q714" s="365"/>
      <c r="T714" s="14"/>
      <c r="U714" s="1"/>
      <c r="V714" s="1"/>
      <c r="W714" s="1"/>
      <c r="X714" s="1"/>
      <c r="Y714" s="1"/>
      <c r="Z714" s="1"/>
      <c r="AA714" s="1"/>
      <c r="AB714" s="1"/>
      <c r="AC714" s="1"/>
      <c r="AD714" s="1"/>
      <c r="AE714" s="13"/>
    </row>
    <row r="715" spans="2:31" ht="16.5" hidden="1" customHeight="1">
      <c r="B715" s="103"/>
      <c r="C715" s="180"/>
      <c r="D715" s="511"/>
      <c r="E715" s="512"/>
      <c r="F715" s="512"/>
      <c r="G715" s="512"/>
      <c r="H715" s="512"/>
      <c r="I715" s="512"/>
      <c r="J715" s="512"/>
      <c r="K715" s="512"/>
      <c r="L715" s="512"/>
      <c r="M715" s="512"/>
      <c r="N715" s="512"/>
      <c r="O715" s="513"/>
      <c r="P715" s="365"/>
      <c r="Q715" s="365"/>
      <c r="T715" s="14"/>
      <c r="U715" s="1"/>
      <c r="V715" s="1"/>
      <c r="W715" s="1"/>
      <c r="X715" s="1"/>
      <c r="Y715" s="1"/>
      <c r="Z715" s="1"/>
      <c r="AA715" s="1"/>
      <c r="AB715" s="1"/>
      <c r="AC715" s="1"/>
      <c r="AD715" s="1"/>
      <c r="AE715" s="13"/>
    </row>
    <row r="716" spans="2:31" ht="16.5" hidden="1" customHeight="1">
      <c r="B716" s="103"/>
      <c r="C716" s="180"/>
      <c r="D716" s="511"/>
      <c r="E716" s="512"/>
      <c r="F716" s="512"/>
      <c r="G716" s="512"/>
      <c r="H716" s="512"/>
      <c r="I716" s="512"/>
      <c r="J716" s="512"/>
      <c r="K716" s="512"/>
      <c r="L716" s="512"/>
      <c r="M716" s="512"/>
      <c r="N716" s="512"/>
      <c r="O716" s="513"/>
      <c r="P716" s="175"/>
      <c r="Q716" s="175"/>
      <c r="T716" s="14"/>
      <c r="U716" s="1"/>
      <c r="V716" s="1"/>
      <c r="W716" s="1"/>
      <c r="X716" s="1"/>
      <c r="Y716" s="1"/>
      <c r="Z716" s="1"/>
      <c r="AA716" s="1"/>
      <c r="AB716" s="1"/>
      <c r="AC716" s="1"/>
      <c r="AD716" s="1"/>
      <c r="AE716" s="13"/>
    </row>
    <row r="717" spans="2:31" ht="16.5" hidden="1" customHeight="1" thickBot="1">
      <c r="B717" s="103"/>
      <c r="C717" s="180"/>
      <c r="D717" s="514"/>
      <c r="E717" s="515"/>
      <c r="F717" s="515"/>
      <c r="G717" s="515"/>
      <c r="H717" s="515"/>
      <c r="I717" s="515"/>
      <c r="J717" s="515"/>
      <c r="K717" s="515"/>
      <c r="L717" s="515"/>
      <c r="M717" s="515"/>
      <c r="N717" s="515"/>
      <c r="O717" s="516"/>
      <c r="T717" s="14"/>
      <c r="U717" s="1"/>
      <c r="V717" s="1"/>
      <c r="W717" s="1"/>
      <c r="X717" s="1"/>
      <c r="Y717" s="1"/>
      <c r="Z717" s="1"/>
      <c r="AA717" s="1"/>
      <c r="AB717" s="1"/>
      <c r="AC717" s="1"/>
      <c r="AD717" s="1"/>
      <c r="AE717" s="13"/>
    </row>
    <row r="718" spans="2:31" ht="16.5" hidden="1" customHeight="1">
      <c r="B718" s="5"/>
      <c r="C718" s="5"/>
      <c r="D718" s="354"/>
      <c r="E718" s="354"/>
      <c r="F718" s="354"/>
      <c r="G718" s="354"/>
      <c r="H718" s="354"/>
      <c r="I718" s="354"/>
      <c r="J718" s="354"/>
      <c r="K718" s="354"/>
      <c r="L718" s="354"/>
      <c r="M718" s="354"/>
      <c r="N718" s="354"/>
      <c r="O718" s="354"/>
      <c r="P718" s="177"/>
      <c r="Q718" s="177"/>
      <c r="T718" s="14"/>
      <c r="U718" s="1"/>
      <c r="V718" s="1"/>
      <c r="W718" s="1"/>
      <c r="X718" s="1"/>
      <c r="Y718" s="1"/>
      <c r="Z718" s="1"/>
      <c r="AA718" s="1"/>
      <c r="AB718" s="1"/>
      <c r="AC718" s="1"/>
      <c r="AD718" s="1"/>
      <c r="AE718" s="13"/>
    </row>
    <row r="719" spans="2:31" ht="16.5" hidden="1" customHeight="1">
      <c r="B719" s="5"/>
      <c r="C719" s="5"/>
      <c r="D719" s="355"/>
      <c r="E719" s="355"/>
      <c r="F719" s="355"/>
      <c r="G719" s="355"/>
      <c r="H719" s="355"/>
      <c r="I719" s="355"/>
      <c r="J719" s="355"/>
      <c r="K719" s="355"/>
      <c r="L719" s="355"/>
      <c r="M719" s="355"/>
      <c r="N719" s="355"/>
      <c r="O719" s="355"/>
      <c r="P719" s="177"/>
      <c r="Q719" s="177"/>
      <c r="T719" s="14"/>
      <c r="U719" s="1"/>
      <c r="V719" s="1"/>
      <c r="W719" s="1"/>
      <c r="X719" s="1"/>
      <c r="Y719" s="1"/>
      <c r="Z719" s="1"/>
      <c r="AA719" s="1"/>
      <c r="AB719" s="1"/>
      <c r="AC719" s="1"/>
      <c r="AD719" s="1"/>
      <c r="AE719" s="13"/>
    </row>
    <row r="720" spans="2:31">
      <c r="D720" s="177"/>
      <c r="E720" s="177"/>
      <c r="F720" s="177"/>
      <c r="G720" s="177"/>
      <c r="H720" s="177"/>
      <c r="I720" s="177"/>
      <c r="J720" s="177"/>
      <c r="K720" s="177"/>
      <c r="L720" s="177"/>
      <c r="M720" s="177"/>
      <c r="N720" s="177"/>
      <c r="O720" s="177"/>
      <c r="P720" s="175"/>
      <c r="Q720" s="175"/>
      <c r="T720" s="14"/>
      <c r="U720" s="1"/>
      <c r="V720" s="1"/>
      <c r="W720" s="1"/>
      <c r="X720" s="1"/>
      <c r="Y720" s="1"/>
      <c r="Z720" s="1"/>
      <c r="AA720" s="1"/>
      <c r="AB720" s="1"/>
      <c r="AC720" s="1"/>
      <c r="AD720" s="1"/>
      <c r="AE720" s="13"/>
    </row>
    <row r="721" spans="4:31" ht="15" customHeight="1"/>
    <row r="722" spans="4:31">
      <c r="D722" s="366" t="s">
        <v>69</v>
      </c>
    </row>
    <row r="723" spans="4:31">
      <c r="D723" s="177"/>
      <c r="E723" s="177"/>
      <c r="F723" s="177"/>
      <c r="G723" s="177"/>
      <c r="H723" s="177"/>
      <c r="I723" s="177"/>
      <c r="J723" s="177"/>
      <c r="K723" s="177"/>
      <c r="L723" s="177"/>
      <c r="M723" s="177"/>
      <c r="N723" s="177"/>
      <c r="O723" s="177"/>
      <c r="P723" s="175"/>
      <c r="Q723" s="175"/>
      <c r="T723" s="14"/>
      <c r="U723" s="1"/>
      <c r="V723" s="1"/>
      <c r="W723" s="1"/>
      <c r="X723" s="1"/>
      <c r="Y723" s="1"/>
      <c r="Z723" s="1"/>
      <c r="AA723" s="1"/>
      <c r="AB723" s="1"/>
      <c r="AC723" s="1"/>
      <c r="AD723" s="1"/>
      <c r="AE723" s="13"/>
    </row>
    <row r="724" spans="4:31" ht="15" customHeight="1"/>
    <row r="725" spans="4:31">
      <c r="D725" s="366"/>
    </row>
  </sheetData>
  <sheetProtection password="C6BD" sheet="1" selectLockedCells="1" selectUnlockedCells="1"/>
  <mergeCells count="499">
    <mergeCell ref="C658:H658"/>
    <mergeCell ref="C660:O660"/>
    <mergeCell ref="U660:W660"/>
    <mergeCell ref="T662:W662"/>
    <mergeCell ref="D663:O668"/>
    <mergeCell ref="T663:W663"/>
    <mergeCell ref="T664:W664"/>
    <mergeCell ref="D669:O670"/>
    <mergeCell ref="C673:O674"/>
    <mergeCell ref="U674:Y674"/>
    <mergeCell ref="V675:Y675"/>
    <mergeCell ref="D676:O678"/>
    <mergeCell ref="U676:Y676"/>
    <mergeCell ref="U677:Y677"/>
    <mergeCell ref="D680:O683"/>
    <mergeCell ref="D684:O684"/>
    <mergeCell ref="T684:Y684"/>
    <mergeCell ref="U685:Y685"/>
    <mergeCell ref="C686:O689"/>
    <mergeCell ref="U686:Y686"/>
    <mergeCell ref="U689:Y689"/>
    <mergeCell ref="D690:O690"/>
    <mergeCell ref="E691:O692"/>
    <mergeCell ref="T691:Y691"/>
    <mergeCell ref="T692:Y692"/>
    <mergeCell ref="D693:O693"/>
    <mergeCell ref="D694:O695"/>
    <mergeCell ref="U694:Y694"/>
    <mergeCell ref="U695:Y695"/>
    <mergeCell ref="U696:Y696"/>
    <mergeCell ref="U697:Y697"/>
    <mergeCell ref="D698:O701"/>
    <mergeCell ref="U698:Y698"/>
    <mergeCell ref="U699:Y699"/>
    <mergeCell ref="U701:Y701"/>
    <mergeCell ref="D702:O702"/>
    <mergeCell ref="C705:O706"/>
    <mergeCell ref="E707:O708"/>
    <mergeCell ref="U707:Y707"/>
    <mergeCell ref="U708:Y708"/>
    <mergeCell ref="U709:Y709"/>
    <mergeCell ref="D710:O710"/>
    <mergeCell ref="D711:O712"/>
    <mergeCell ref="D714:O717"/>
    <mergeCell ref="D628:O628"/>
    <mergeCell ref="D568:O568"/>
    <mergeCell ref="D509:O509"/>
    <mergeCell ref="D640:O640"/>
    <mergeCell ref="U382:Y382"/>
    <mergeCell ref="D383:O383"/>
    <mergeCell ref="D384:O385"/>
    <mergeCell ref="C536:H536"/>
    <mergeCell ref="D475:O476"/>
    <mergeCell ref="D465:O465"/>
    <mergeCell ref="D466:O467"/>
    <mergeCell ref="D468:O469"/>
    <mergeCell ref="D471:O474"/>
    <mergeCell ref="D528:O529"/>
    <mergeCell ref="D531:O534"/>
    <mergeCell ref="U516:Y516"/>
    <mergeCell ref="D517:O520"/>
    <mergeCell ref="U517:Y517"/>
    <mergeCell ref="U518:Y518"/>
    <mergeCell ref="U520:Y520"/>
    <mergeCell ref="U376:Y376"/>
    <mergeCell ref="U378:Y378"/>
    <mergeCell ref="U381:Y381"/>
    <mergeCell ref="T418:W418"/>
    <mergeCell ref="D419:O424"/>
    <mergeCell ref="T419:W419"/>
    <mergeCell ref="T420:W420"/>
    <mergeCell ref="E462:O464"/>
    <mergeCell ref="U462:Y462"/>
    <mergeCell ref="U463:Y463"/>
    <mergeCell ref="U464:Y464"/>
    <mergeCell ref="D448:O449"/>
    <mergeCell ref="U448:Y448"/>
    <mergeCell ref="U449:Y449"/>
    <mergeCell ref="U450:Y450"/>
    <mergeCell ref="U451:Y451"/>
    <mergeCell ref="D452:O455"/>
    <mergeCell ref="U452:Y452"/>
    <mergeCell ref="U453:Y453"/>
    <mergeCell ref="U455:Y455"/>
    <mergeCell ref="C458:O461"/>
    <mergeCell ref="C350:H350"/>
    <mergeCell ref="D306:O309"/>
    <mergeCell ref="E316:O318"/>
    <mergeCell ref="T316:Y316"/>
    <mergeCell ref="U317:Y317"/>
    <mergeCell ref="D347:O348"/>
    <mergeCell ref="U318:Y318"/>
    <mergeCell ref="D310:O310"/>
    <mergeCell ref="D320:O321"/>
    <mergeCell ref="D319:O319"/>
    <mergeCell ref="U320:Y320"/>
    <mergeCell ref="U321:Y321"/>
    <mergeCell ref="U322:Y322"/>
    <mergeCell ref="D324:O327"/>
    <mergeCell ref="U323:Y323"/>
    <mergeCell ref="U324:Y324"/>
    <mergeCell ref="U325:Y325"/>
    <mergeCell ref="U327:Y327"/>
    <mergeCell ref="U303:Y303"/>
    <mergeCell ref="D303:O304"/>
    <mergeCell ref="V302:Y302"/>
    <mergeCell ref="U304:Y304"/>
    <mergeCell ref="D411:O412"/>
    <mergeCell ref="C330:O333"/>
    <mergeCell ref="U334:Y334"/>
    <mergeCell ref="E334:O336"/>
    <mergeCell ref="U335:Y335"/>
    <mergeCell ref="U336:Y336"/>
    <mergeCell ref="D337:O337"/>
    <mergeCell ref="D340:O341"/>
    <mergeCell ref="D343:O346"/>
    <mergeCell ref="U384:Y384"/>
    <mergeCell ref="U385:Y385"/>
    <mergeCell ref="U386:Y386"/>
    <mergeCell ref="D367:O368"/>
    <mergeCell ref="U367:Y367"/>
    <mergeCell ref="U368:Y368"/>
    <mergeCell ref="D370:O373"/>
    <mergeCell ref="D374:O374"/>
    <mergeCell ref="T374:Y374"/>
    <mergeCell ref="U375:Y375"/>
    <mergeCell ref="D338:O339"/>
    <mergeCell ref="D259:O259"/>
    <mergeCell ref="C286:H286"/>
    <mergeCell ref="C288:O288"/>
    <mergeCell ref="U288:W288"/>
    <mergeCell ref="D291:O296"/>
    <mergeCell ref="T290:W290"/>
    <mergeCell ref="T291:W291"/>
    <mergeCell ref="T292:W292"/>
    <mergeCell ref="U301:Y301"/>
    <mergeCell ref="D250:O250"/>
    <mergeCell ref="U263:Y263"/>
    <mergeCell ref="C252:O255"/>
    <mergeCell ref="U251:Y251"/>
    <mergeCell ref="U252:Y252"/>
    <mergeCell ref="U254:Y254"/>
    <mergeCell ref="E256:O258"/>
    <mergeCell ref="T310:Y310"/>
    <mergeCell ref="C312:O315"/>
    <mergeCell ref="U311:Y311"/>
    <mergeCell ref="U312:Y312"/>
    <mergeCell ref="U314:Y314"/>
    <mergeCell ref="D275:O275"/>
    <mergeCell ref="D276:O277"/>
    <mergeCell ref="D279:O282"/>
    <mergeCell ref="C268:O271"/>
    <mergeCell ref="E272:O274"/>
    <mergeCell ref="U271:Y271"/>
    <mergeCell ref="U272:Y272"/>
    <mergeCell ref="U266:Y266"/>
    <mergeCell ref="U273:Y273"/>
    <mergeCell ref="U264:Y264"/>
    <mergeCell ref="U257:Y257"/>
    <mergeCell ref="T256:Y256"/>
    <mergeCell ref="U23:W23"/>
    <mergeCell ref="U49:Y49"/>
    <mergeCell ref="U48:Y48"/>
    <mergeCell ref="U51:Y51"/>
    <mergeCell ref="U50:Y50"/>
    <mergeCell ref="U61:Y61"/>
    <mergeCell ref="U60:Y60"/>
    <mergeCell ref="U54:Y54"/>
    <mergeCell ref="U53:Y53"/>
    <mergeCell ref="U52:Y52"/>
    <mergeCell ref="U55:Y55"/>
    <mergeCell ref="U56:Y56"/>
    <mergeCell ref="T44:W44"/>
    <mergeCell ref="T43:W43"/>
    <mergeCell ref="T42:W42"/>
    <mergeCell ref="U40:W40"/>
    <mergeCell ref="U29:Y29"/>
    <mergeCell ref="U30:Y30"/>
    <mergeCell ref="U62:Y62"/>
    <mergeCell ref="D64:O65"/>
    <mergeCell ref="D69:O72"/>
    <mergeCell ref="T77:W77"/>
    <mergeCell ref="U82:Y82"/>
    <mergeCell ref="U258:Y258"/>
    <mergeCell ref="U259:Y259"/>
    <mergeCell ref="U260:Y260"/>
    <mergeCell ref="D262:O265"/>
    <mergeCell ref="U261:Y261"/>
    <mergeCell ref="U262:Y262"/>
    <mergeCell ref="U241:Y241"/>
    <mergeCell ref="U243:Y243"/>
    <mergeCell ref="U244:Y244"/>
    <mergeCell ref="D246:O249"/>
    <mergeCell ref="T250:Y250"/>
    <mergeCell ref="C230:H230"/>
    <mergeCell ref="C232:O232"/>
    <mergeCell ref="U231:W231"/>
    <mergeCell ref="D235:O239"/>
    <mergeCell ref="T233:W233"/>
    <mergeCell ref="T234:W234"/>
    <mergeCell ref="T235:W235"/>
    <mergeCell ref="V242:Y242"/>
    <mergeCell ref="F3:O6"/>
    <mergeCell ref="C62:O63"/>
    <mergeCell ref="B8:O8"/>
    <mergeCell ref="B9:O10"/>
    <mergeCell ref="B13:O13"/>
    <mergeCell ref="C23:I23"/>
    <mergeCell ref="C37:H37"/>
    <mergeCell ref="C20:H20"/>
    <mergeCell ref="D29:O33"/>
    <mergeCell ref="D42:O46"/>
    <mergeCell ref="C49:O50"/>
    <mergeCell ref="D52:O53"/>
    <mergeCell ref="B11:O11"/>
    <mergeCell ref="D56:O59"/>
    <mergeCell ref="B16:O17"/>
    <mergeCell ref="D80:O83"/>
    <mergeCell ref="T24:W24"/>
    <mergeCell ref="U137:Y137"/>
    <mergeCell ref="U144:Y144"/>
    <mergeCell ref="D92:O96"/>
    <mergeCell ref="D115:O118"/>
    <mergeCell ref="U92:W92"/>
    <mergeCell ref="T94:W94"/>
    <mergeCell ref="T95:W95"/>
    <mergeCell ref="T96:W96"/>
    <mergeCell ref="D102:O105"/>
    <mergeCell ref="C108:O109"/>
    <mergeCell ref="E110:O111"/>
    <mergeCell ref="U108:Y108"/>
    <mergeCell ref="U109:Y109"/>
    <mergeCell ref="U110:Y110"/>
    <mergeCell ref="U117:Y117"/>
    <mergeCell ref="U118:Y118"/>
    <mergeCell ref="U99:Y99"/>
    <mergeCell ref="C87:H87"/>
    <mergeCell ref="C89:O89"/>
    <mergeCell ref="U83:Y83"/>
    <mergeCell ref="U84:Y84"/>
    <mergeCell ref="U85:Y85"/>
    <mergeCell ref="U149:Y149"/>
    <mergeCell ref="U150:Y150"/>
    <mergeCell ref="U151:Y151"/>
    <mergeCell ref="U152:Y152"/>
    <mergeCell ref="T13:AE20"/>
    <mergeCell ref="T26:W26"/>
    <mergeCell ref="T25:W25"/>
    <mergeCell ref="T78:W78"/>
    <mergeCell ref="T79:W79"/>
    <mergeCell ref="U47:Y47"/>
    <mergeCell ref="T106:Y106"/>
    <mergeCell ref="U107:Y107"/>
    <mergeCell ref="U115:Y115"/>
    <mergeCell ref="U100:Y100"/>
    <mergeCell ref="U101:Y101"/>
    <mergeCell ref="U104:Y104"/>
    <mergeCell ref="U113:Y113"/>
    <mergeCell ref="U114:Y114"/>
    <mergeCell ref="U111:Y111"/>
    <mergeCell ref="U112:Y112"/>
    <mergeCell ref="U31:Y31"/>
    <mergeCell ref="U32:Y32"/>
    <mergeCell ref="U76:W76"/>
    <mergeCell ref="T46:Y46"/>
    <mergeCell ref="C122:H122"/>
    <mergeCell ref="C124:O124"/>
    <mergeCell ref="D127:O131"/>
    <mergeCell ref="U124:W124"/>
    <mergeCell ref="T126:W126"/>
    <mergeCell ref="T127:W127"/>
    <mergeCell ref="T128:W128"/>
    <mergeCell ref="U134:Y134"/>
    <mergeCell ref="U136:Y136"/>
    <mergeCell ref="V135:Y135"/>
    <mergeCell ref="C178:H178"/>
    <mergeCell ref="D171:O171"/>
    <mergeCell ref="B174:O175"/>
    <mergeCell ref="D138:O141"/>
    <mergeCell ref="C144:O146"/>
    <mergeCell ref="T143:Y143"/>
    <mergeCell ref="U146:Y146"/>
    <mergeCell ref="U147:Y147"/>
    <mergeCell ref="E147:O148"/>
    <mergeCell ref="D149:O149"/>
    <mergeCell ref="D167:O170"/>
    <mergeCell ref="U145:Y145"/>
    <mergeCell ref="D152:O155"/>
    <mergeCell ref="E161:O162"/>
    <mergeCell ref="D163:O163"/>
    <mergeCell ref="U153:Y153"/>
    <mergeCell ref="U154:Y154"/>
    <mergeCell ref="U156:Y156"/>
    <mergeCell ref="C158:O160"/>
    <mergeCell ref="D164:O165"/>
    <mergeCell ref="U161:Y161"/>
    <mergeCell ref="U162:Y162"/>
    <mergeCell ref="U160:Y160"/>
    <mergeCell ref="U148:Y148"/>
    <mergeCell ref="D183:O187"/>
    <mergeCell ref="T181:W181"/>
    <mergeCell ref="U199:Y199"/>
    <mergeCell ref="U202:Y202"/>
    <mergeCell ref="U189:Y189"/>
    <mergeCell ref="T180:W180"/>
    <mergeCell ref="T201:Y201"/>
    <mergeCell ref="U197:Y197"/>
    <mergeCell ref="T179:W179"/>
    <mergeCell ref="V188:Y188"/>
    <mergeCell ref="D119:O120"/>
    <mergeCell ref="U198:Y198"/>
    <mergeCell ref="U190:Y190"/>
    <mergeCell ref="D194:O197"/>
    <mergeCell ref="D223:O226"/>
    <mergeCell ref="D219:O219"/>
    <mergeCell ref="U214:Y214"/>
    <mergeCell ref="U203:Y203"/>
    <mergeCell ref="U204:Y204"/>
    <mergeCell ref="U205:Y205"/>
    <mergeCell ref="U206:Y206"/>
    <mergeCell ref="D205:O205"/>
    <mergeCell ref="D208:O211"/>
    <mergeCell ref="U207:Y207"/>
    <mergeCell ref="U215:Y215"/>
    <mergeCell ref="U208:Y208"/>
    <mergeCell ref="U210:Y210"/>
    <mergeCell ref="C214:O216"/>
    <mergeCell ref="E217:O218"/>
    <mergeCell ref="U216:Y216"/>
    <mergeCell ref="U187:Y187"/>
    <mergeCell ref="C180:O180"/>
    <mergeCell ref="U177:W177"/>
    <mergeCell ref="E203:O204"/>
    <mergeCell ref="D220:O221"/>
    <mergeCell ref="T196:Y196"/>
    <mergeCell ref="C200:O202"/>
    <mergeCell ref="D401:O401"/>
    <mergeCell ref="D402:O403"/>
    <mergeCell ref="D404:O405"/>
    <mergeCell ref="D407:O410"/>
    <mergeCell ref="U387:Y387"/>
    <mergeCell ref="D388:O391"/>
    <mergeCell ref="U388:Y388"/>
    <mergeCell ref="U389:Y389"/>
    <mergeCell ref="U391:Y391"/>
    <mergeCell ref="C394:O397"/>
    <mergeCell ref="E398:O400"/>
    <mergeCell ref="U398:Y398"/>
    <mergeCell ref="U399:Y399"/>
    <mergeCell ref="U400:Y400"/>
    <mergeCell ref="E380:O382"/>
    <mergeCell ref="T380:Y380"/>
    <mergeCell ref="C352:O352"/>
    <mergeCell ref="U352:W352"/>
    <mergeCell ref="T354:W354"/>
    <mergeCell ref="D355:O360"/>
    <mergeCell ref="T355:W355"/>
    <mergeCell ref="T356:W356"/>
    <mergeCell ref="U365:Y365"/>
    <mergeCell ref="V366:Y366"/>
    <mergeCell ref="D447:O447"/>
    <mergeCell ref="D434:O437"/>
    <mergeCell ref="D438:O438"/>
    <mergeCell ref="T438:Y438"/>
    <mergeCell ref="U439:Y439"/>
    <mergeCell ref="C440:O443"/>
    <mergeCell ref="U440:Y440"/>
    <mergeCell ref="U442:Y442"/>
    <mergeCell ref="E444:O446"/>
    <mergeCell ref="T444:Y444"/>
    <mergeCell ref="U445:Y445"/>
    <mergeCell ref="U446:Y446"/>
    <mergeCell ref="U429:Y429"/>
    <mergeCell ref="V430:Y430"/>
    <mergeCell ref="D431:O432"/>
    <mergeCell ref="U431:Y431"/>
    <mergeCell ref="U432:Y432"/>
    <mergeCell ref="C414:H414"/>
    <mergeCell ref="C416:O416"/>
    <mergeCell ref="U416:W416"/>
    <mergeCell ref="C376:O379"/>
    <mergeCell ref="U526:Y526"/>
    <mergeCell ref="C523:O523"/>
    <mergeCell ref="E524:O525"/>
    <mergeCell ref="T510:Y510"/>
    <mergeCell ref="U511:Y511"/>
    <mergeCell ref="D512:O512"/>
    <mergeCell ref="D513:O514"/>
    <mergeCell ref="U513:Y513"/>
    <mergeCell ref="U514:Y514"/>
    <mergeCell ref="U515:Y515"/>
    <mergeCell ref="E510:O511"/>
    <mergeCell ref="D527:O527"/>
    <mergeCell ref="C478:H478"/>
    <mergeCell ref="C480:O480"/>
    <mergeCell ref="U480:W480"/>
    <mergeCell ref="T482:W482"/>
    <mergeCell ref="D483:O488"/>
    <mergeCell ref="T483:W483"/>
    <mergeCell ref="T484:W484"/>
    <mergeCell ref="U494:Y494"/>
    <mergeCell ref="C505:O508"/>
    <mergeCell ref="V495:Y495"/>
    <mergeCell ref="D496:O497"/>
    <mergeCell ref="U496:Y496"/>
    <mergeCell ref="U497:Y497"/>
    <mergeCell ref="D499:O502"/>
    <mergeCell ref="D503:O503"/>
    <mergeCell ref="T503:Y503"/>
    <mergeCell ref="U504:Y504"/>
    <mergeCell ref="U505:Y505"/>
    <mergeCell ref="U508:Y508"/>
    <mergeCell ref="C493:O494"/>
    <mergeCell ref="D489:O490"/>
    <mergeCell ref="U524:Y524"/>
    <mergeCell ref="U525:Y525"/>
    <mergeCell ref="D586:O586"/>
    <mergeCell ref="D587:O588"/>
    <mergeCell ref="D590:O593"/>
    <mergeCell ref="D576:O579"/>
    <mergeCell ref="U576:Y576"/>
    <mergeCell ref="U577:Y577"/>
    <mergeCell ref="U579:Y579"/>
    <mergeCell ref="C582:O582"/>
    <mergeCell ref="E583:O584"/>
    <mergeCell ref="U583:Y583"/>
    <mergeCell ref="U584:Y584"/>
    <mergeCell ref="U585:Y585"/>
    <mergeCell ref="E569:O570"/>
    <mergeCell ref="T569:Y569"/>
    <mergeCell ref="U570:Y570"/>
    <mergeCell ref="D571:O571"/>
    <mergeCell ref="D572:O573"/>
    <mergeCell ref="U572:Y572"/>
    <mergeCell ref="U573:Y573"/>
    <mergeCell ref="U574:Y574"/>
    <mergeCell ref="U575:Y575"/>
    <mergeCell ref="U554:Y554"/>
    <mergeCell ref="U555:Y555"/>
    <mergeCell ref="D558:O561"/>
    <mergeCell ref="D562:O562"/>
    <mergeCell ref="T562:Y562"/>
    <mergeCell ref="U563:Y563"/>
    <mergeCell ref="C564:O567"/>
    <mergeCell ref="U564:Y564"/>
    <mergeCell ref="U567:Y567"/>
    <mergeCell ref="D554:O556"/>
    <mergeCell ref="C538:O538"/>
    <mergeCell ref="U538:W538"/>
    <mergeCell ref="T540:W540"/>
    <mergeCell ref="D541:O546"/>
    <mergeCell ref="T541:W541"/>
    <mergeCell ref="T542:W542"/>
    <mergeCell ref="U552:Y552"/>
    <mergeCell ref="V553:Y553"/>
    <mergeCell ref="C551:O552"/>
    <mergeCell ref="D547:O548"/>
    <mergeCell ref="D649:O650"/>
    <mergeCell ref="D652:O655"/>
    <mergeCell ref="U634:Y634"/>
    <mergeCell ref="U635:Y635"/>
    <mergeCell ref="D636:O639"/>
    <mergeCell ref="U636:Y636"/>
    <mergeCell ref="U637:Y637"/>
    <mergeCell ref="U639:Y639"/>
    <mergeCell ref="E645:O646"/>
    <mergeCell ref="U645:Y645"/>
    <mergeCell ref="U646:Y646"/>
    <mergeCell ref="C643:O644"/>
    <mergeCell ref="E629:O630"/>
    <mergeCell ref="T629:Y629"/>
    <mergeCell ref="D631:O631"/>
    <mergeCell ref="D632:O633"/>
    <mergeCell ref="U632:Y632"/>
    <mergeCell ref="U633:Y633"/>
    <mergeCell ref="U647:Y647"/>
    <mergeCell ref="D648:O648"/>
    <mergeCell ref="T630:Y630"/>
    <mergeCell ref="V613:Y613"/>
    <mergeCell ref="D614:O616"/>
    <mergeCell ref="U614:Y614"/>
    <mergeCell ref="U615:Y615"/>
    <mergeCell ref="D618:O621"/>
    <mergeCell ref="D622:O622"/>
    <mergeCell ref="T622:Y622"/>
    <mergeCell ref="U623:Y623"/>
    <mergeCell ref="C624:O627"/>
    <mergeCell ref="U624:Y624"/>
    <mergeCell ref="U627:Y627"/>
    <mergeCell ref="C596:H596"/>
    <mergeCell ref="C598:O598"/>
    <mergeCell ref="U598:W598"/>
    <mergeCell ref="T600:W600"/>
    <mergeCell ref="D601:O606"/>
    <mergeCell ref="T601:W601"/>
    <mergeCell ref="T602:W602"/>
    <mergeCell ref="D607:O608"/>
    <mergeCell ref="C611:O612"/>
    <mergeCell ref="U612:Y612"/>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725"/>
  <sheetViews>
    <sheetView showGridLines="0" topLeftCell="A657"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548" t="s">
        <v>495</v>
      </c>
      <c r="G3" s="548"/>
      <c r="H3" s="548"/>
      <c r="I3" s="548"/>
      <c r="J3" s="548"/>
      <c r="K3" s="548"/>
      <c r="L3" s="548"/>
      <c r="M3" s="548"/>
      <c r="N3" s="548"/>
      <c r="O3" s="548"/>
      <c r="R3" s="109"/>
    </row>
    <row r="4" spans="2:34" ht="15" customHeight="1">
      <c r="B4" s="77"/>
      <c r="C4" s="77"/>
      <c r="D4" s="77"/>
      <c r="E4" s="77"/>
      <c r="F4" s="548"/>
      <c r="G4" s="548"/>
      <c r="H4" s="548"/>
      <c r="I4" s="548"/>
      <c r="J4" s="548"/>
      <c r="K4" s="548"/>
      <c r="L4" s="548"/>
      <c r="M4" s="548"/>
      <c r="N4" s="548"/>
      <c r="O4" s="548"/>
      <c r="P4" s="99"/>
    </row>
    <row r="5" spans="2:34" ht="15" customHeight="1">
      <c r="B5" s="77"/>
      <c r="C5" s="77"/>
      <c r="D5" s="77"/>
      <c r="E5" s="77"/>
      <c r="F5" s="548"/>
      <c r="G5" s="548"/>
      <c r="H5" s="548"/>
      <c r="I5" s="548"/>
      <c r="J5" s="548"/>
      <c r="K5" s="548"/>
      <c r="L5" s="548"/>
      <c r="M5" s="548"/>
      <c r="N5" s="548"/>
      <c r="O5" s="548"/>
    </row>
    <row r="6" spans="2:34" ht="15" customHeight="1">
      <c r="B6" s="77"/>
      <c r="C6" s="77"/>
      <c r="D6" s="77"/>
      <c r="E6" s="77"/>
      <c r="F6" s="548"/>
      <c r="G6" s="548"/>
      <c r="H6" s="548"/>
      <c r="I6" s="548"/>
      <c r="J6" s="548"/>
      <c r="K6" s="548"/>
      <c r="L6" s="548"/>
      <c r="M6" s="548"/>
      <c r="N6" s="548"/>
      <c r="O6" s="548"/>
    </row>
    <row r="7" spans="2:34">
      <c r="B7" s="392"/>
      <c r="C7" s="392"/>
      <c r="D7" s="392"/>
      <c r="E7" s="392"/>
      <c r="F7" s="392"/>
      <c r="G7" s="392"/>
      <c r="H7" s="392"/>
      <c r="I7" s="392"/>
      <c r="J7" s="392"/>
      <c r="K7" s="392"/>
      <c r="L7" s="392"/>
      <c r="M7" s="392"/>
      <c r="N7" s="392"/>
    </row>
    <row r="8" spans="2:34" ht="15.75">
      <c r="B8" s="549" t="s">
        <v>34</v>
      </c>
      <c r="C8" s="549"/>
      <c r="D8" s="549"/>
      <c r="E8" s="549"/>
      <c r="F8" s="549"/>
      <c r="G8" s="549"/>
      <c r="H8" s="549"/>
      <c r="I8" s="549"/>
      <c r="J8" s="549"/>
      <c r="K8" s="549"/>
      <c r="L8" s="549"/>
      <c r="M8" s="549"/>
      <c r="N8" s="549"/>
      <c r="O8" s="549"/>
    </row>
    <row r="9" spans="2:34" ht="15" customHeight="1">
      <c r="B9" s="550" t="s">
        <v>33</v>
      </c>
      <c r="C9" s="550"/>
      <c r="D9" s="550"/>
      <c r="E9" s="550"/>
      <c r="F9" s="550"/>
      <c r="G9" s="550"/>
      <c r="H9" s="550"/>
      <c r="I9" s="550"/>
      <c r="J9" s="550"/>
      <c r="K9" s="550"/>
      <c r="L9" s="550"/>
      <c r="M9" s="550"/>
      <c r="N9" s="550"/>
      <c r="O9" s="550"/>
    </row>
    <row r="10" spans="2:34" ht="15" customHeight="1">
      <c r="B10" s="550"/>
      <c r="C10" s="550"/>
      <c r="D10" s="550"/>
      <c r="E10" s="550"/>
      <c r="F10" s="550"/>
      <c r="G10" s="550"/>
      <c r="H10" s="550"/>
      <c r="I10" s="550"/>
      <c r="J10" s="550"/>
      <c r="K10" s="550"/>
      <c r="L10" s="550"/>
      <c r="M10" s="550"/>
      <c r="N10" s="550"/>
      <c r="O10" s="550"/>
    </row>
    <row r="11" spans="2:34" ht="15.75">
      <c r="B11" s="549" t="s">
        <v>65</v>
      </c>
      <c r="C11" s="549"/>
      <c r="D11" s="549"/>
      <c r="E11" s="549"/>
      <c r="F11" s="549"/>
      <c r="G11" s="549"/>
      <c r="H11" s="549"/>
      <c r="I11" s="549"/>
      <c r="J11" s="549"/>
      <c r="K11" s="549"/>
      <c r="L11" s="549"/>
      <c r="M11" s="549"/>
      <c r="N11" s="549"/>
      <c r="O11" s="549"/>
      <c r="P11" s="99"/>
      <c r="Q11" s="99"/>
      <c r="R11" s="99"/>
      <c r="S11" s="99"/>
    </row>
    <row r="12" spans="2:34">
      <c r="R12" t="s">
        <v>7</v>
      </c>
    </row>
    <row r="13" spans="2:34">
      <c r="B13" s="413" t="s">
        <v>68</v>
      </c>
      <c r="C13" s="413"/>
      <c r="D13" s="413"/>
      <c r="E13" s="413"/>
      <c r="F13" s="413"/>
      <c r="G13" s="413"/>
      <c r="H13" s="413"/>
      <c r="I13" s="413"/>
      <c r="J13" s="413"/>
      <c r="K13" s="413"/>
      <c r="L13" s="413"/>
      <c r="M13" s="413"/>
      <c r="N13" s="413"/>
      <c r="O13" s="413"/>
      <c r="S13" s="109"/>
      <c r="T13" s="535" t="s">
        <v>32</v>
      </c>
      <c r="U13" s="535"/>
      <c r="V13" s="535"/>
      <c r="W13" s="535"/>
      <c r="X13" s="535"/>
      <c r="Y13" s="535"/>
      <c r="Z13" s="535"/>
      <c r="AA13" s="535"/>
      <c r="AB13" s="535"/>
      <c r="AC13" s="535"/>
      <c r="AD13" s="535"/>
      <c r="AE13" s="535"/>
      <c r="AF13" s="1"/>
      <c r="AG13" s="1"/>
      <c r="AH13" s="1"/>
    </row>
    <row r="14" spans="2:34" ht="16.5" customHeight="1">
      <c r="B14" s="379"/>
      <c r="C14" s="379"/>
      <c r="D14" s="379"/>
      <c r="E14" s="379"/>
      <c r="F14" s="379"/>
      <c r="G14" s="379"/>
      <c r="H14" s="379"/>
      <c r="I14" s="379"/>
      <c r="J14" s="379"/>
      <c r="K14" s="379"/>
      <c r="L14" s="379"/>
      <c r="M14" s="379"/>
      <c r="N14" s="379"/>
      <c r="O14" s="379"/>
      <c r="S14" s="109"/>
      <c r="T14" s="535"/>
      <c r="U14" s="535"/>
      <c r="V14" s="535"/>
      <c r="W14" s="535"/>
      <c r="X14" s="535"/>
      <c r="Y14" s="535"/>
      <c r="Z14" s="535"/>
      <c r="AA14" s="535"/>
      <c r="AB14" s="535"/>
      <c r="AC14" s="535"/>
      <c r="AD14" s="535"/>
      <c r="AE14" s="535"/>
      <c r="AF14" s="1"/>
      <c r="AG14" s="1"/>
      <c r="AH14" s="1"/>
    </row>
    <row r="15" spans="2:34" ht="15.75" thickBot="1">
      <c r="B15" s="223"/>
      <c r="C15" s="223"/>
      <c r="D15" s="223"/>
      <c r="E15" s="223"/>
      <c r="F15" s="223"/>
      <c r="G15" s="223"/>
      <c r="H15" s="223"/>
      <c r="I15" s="223"/>
      <c r="J15" s="223"/>
      <c r="K15" s="223"/>
      <c r="L15" s="223"/>
      <c r="M15" s="223"/>
      <c r="N15" s="223"/>
      <c r="O15" s="223"/>
      <c r="S15" s="109"/>
      <c r="T15" s="535"/>
      <c r="U15" s="535"/>
      <c r="V15" s="535"/>
      <c r="W15" s="535"/>
      <c r="X15" s="535"/>
      <c r="Y15" s="535"/>
      <c r="Z15" s="535"/>
      <c r="AA15" s="535"/>
      <c r="AB15" s="535"/>
      <c r="AC15" s="535"/>
      <c r="AD15" s="535"/>
      <c r="AE15" s="535"/>
      <c r="AF15" s="1"/>
      <c r="AG15" s="1"/>
      <c r="AH15" s="1"/>
    </row>
    <row r="16" spans="2:34" ht="15" customHeight="1">
      <c r="B16" s="533">
        <v>2020</v>
      </c>
      <c r="C16" s="533"/>
      <c r="D16" s="533"/>
      <c r="E16" s="533"/>
      <c r="F16" s="533"/>
      <c r="G16" s="533"/>
      <c r="H16" s="533"/>
      <c r="I16" s="533"/>
      <c r="J16" s="533"/>
      <c r="K16" s="533"/>
      <c r="L16" s="533"/>
      <c r="M16" s="533"/>
      <c r="N16" s="533"/>
      <c r="O16" s="533"/>
      <c r="S16" s="109"/>
      <c r="T16" s="535"/>
      <c r="U16" s="535"/>
      <c r="V16" s="535"/>
      <c r="W16" s="535"/>
      <c r="X16" s="535"/>
      <c r="Y16" s="535"/>
      <c r="Z16" s="535"/>
      <c r="AA16" s="535"/>
      <c r="AB16" s="535"/>
      <c r="AC16" s="535"/>
      <c r="AD16" s="535"/>
      <c r="AE16" s="535"/>
      <c r="AF16" s="1"/>
      <c r="AG16" s="1"/>
      <c r="AH16" s="1"/>
    </row>
    <row r="17" spans="2:34" ht="15.75" customHeight="1" thickBot="1">
      <c r="B17" s="534"/>
      <c r="C17" s="534"/>
      <c r="D17" s="534"/>
      <c r="E17" s="534"/>
      <c r="F17" s="534"/>
      <c r="G17" s="534"/>
      <c r="H17" s="534"/>
      <c r="I17" s="534"/>
      <c r="J17" s="534"/>
      <c r="K17" s="534"/>
      <c r="L17" s="534"/>
      <c r="M17" s="534"/>
      <c r="N17" s="534"/>
      <c r="O17" s="534"/>
      <c r="S17" s="109"/>
      <c r="T17" s="535"/>
      <c r="U17" s="535"/>
      <c r="V17" s="535"/>
      <c r="W17" s="535"/>
      <c r="X17" s="535"/>
      <c r="Y17" s="535"/>
      <c r="Z17" s="535"/>
      <c r="AA17" s="535"/>
      <c r="AB17" s="535"/>
      <c r="AC17" s="535"/>
      <c r="AD17" s="535"/>
      <c r="AE17" s="535"/>
      <c r="AF17" s="1"/>
      <c r="AG17" s="1"/>
      <c r="AH17" s="1"/>
    </row>
    <row r="18" spans="2:34">
      <c r="S18" s="109"/>
      <c r="T18" s="535"/>
      <c r="U18" s="535"/>
      <c r="V18" s="535"/>
      <c r="W18" s="535"/>
      <c r="X18" s="535"/>
      <c r="Y18" s="535"/>
      <c r="Z18" s="535"/>
      <c r="AA18" s="535"/>
      <c r="AB18" s="535"/>
      <c r="AC18" s="535"/>
      <c r="AD18" s="535"/>
      <c r="AE18" s="535"/>
      <c r="AF18" s="1"/>
      <c r="AG18" s="1"/>
      <c r="AH18" s="1"/>
    </row>
    <row r="19" spans="2:34">
      <c r="S19" s="109"/>
      <c r="T19" s="535"/>
      <c r="U19" s="535"/>
      <c r="V19" s="535"/>
      <c r="W19" s="535"/>
      <c r="X19" s="535"/>
      <c r="Y19" s="535"/>
      <c r="Z19" s="535"/>
      <c r="AA19" s="535"/>
      <c r="AB19" s="535"/>
      <c r="AC19" s="535"/>
      <c r="AD19" s="535"/>
      <c r="AE19" s="535"/>
      <c r="AF19" s="1"/>
      <c r="AG19" s="1"/>
      <c r="AH19" s="1"/>
    </row>
    <row r="20" spans="2:34" ht="19.5" customHeight="1" thickBot="1">
      <c r="B20" s="221"/>
      <c r="C20" s="488" t="s">
        <v>19</v>
      </c>
      <c r="D20" s="488"/>
      <c r="E20" s="488"/>
      <c r="F20" s="488"/>
      <c r="G20" s="488"/>
      <c r="H20" s="488"/>
      <c r="I20" s="222"/>
      <c r="J20" s="221"/>
      <c r="K20" s="221"/>
      <c r="L20" s="221"/>
      <c r="M20" s="221"/>
      <c r="N20" s="221"/>
      <c r="O20" s="221"/>
      <c r="T20" s="535"/>
      <c r="U20" s="535"/>
      <c r="V20" s="535"/>
      <c r="W20" s="535"/>
      <c r="X20" s="535"/>
      <c r="Y20" s="535"/>
      <c r="Z20" s="535"/>
      <c r="AA20" s="535"/>
      <c r="AB20" s="535"/>
      <c r="AC20" s="535"/>
      <c r="AD20" s="535"/>
      <c r="AE20" s="535"/>
      <c r="AF20" s="1"/>
      <c r="AG20" s="1"/>
      <c r="AH20" s="1"/>
    </row>
    <row r="21" spans="2:34" ht="15" customHeight="1">
      <c r="B21" s="1"/>
      <c r="C21" s="111"/>
      <c r="D21" s="111"/>
      <c r="E21" s="111"/>
      <c r="F21" s="111"/>
      <c r="G21" s="111"/>
      <c r="H21" s="111"/>
      <c r="I21" s="44"/>
      <c r="J21" s="1"/>
      <c r="K21" s="1"/>
      <c r="L21" s="1"/>
      <c r="M21" s="1"/>
      <c r="N21" s="1"/>
      <c r="O21" s="1"/>
      <c r="S21" s="109"/>
      <c r="T21" s="390"/>
      <c r="U21" s="390"/>
      <c r="V21" s="390"/>
      <c r="W21" s="390"/>
      <c r="X21" s="390"/>
      <c r="Y21" s="390"/>
      <c r="Z21" s="390"/>
      <c r="AA21" s="390"/>
      <c r="AB21" s="390"/>
      <c r="AC21" s="390"/>
      <c r="AD21" s="390"/>
      <c r="AE21" s="390"/>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401" t="s">
        <v>28</v>
      </c>
      <c r="D23" s="401"/>
      <c r="E23" s="401"/>
      <c r="F23" s="401"/>
      <c r="G23" s="401"/>
      <c r="H23" s="401"/>
      <c r="I23" s="401"/>
      <c r="J23" s="40"/>
      <c r="K23" s="40"/>
      <c r="L23" s="40"/>
      <c r="M23" s="40"/>
      <c r="N23" s="40"/>
      <c r="O23" s="40"/>
      <c r="S23" s="109"/>
      <c r="T23" s="25"/>
      <c r="U23" s="490" t="s">
        <v>20</v>
      </c>
      <c r="V23" s="490"/>
      <c r="W23" s="490"/>
      <c r="X23" s="1"/>
      <c r="Y23" s="390" t="s">
        <v>6</v>
      </c>
      <c r="Z23" s="390"/>
      <c r="AA23" s="126"/>
      <c r="AB23" s="390" t="s">
        <v>23</v>
      </c>
      <c r="AC23" s="390"/>
      <c r="AD23" s="126"/>
      <c r="AE23" s="26" t="s">
        <v>24</v>
      </c>
      <c r="AF23" s="1"/>
      <c r="AG23" s="1"/>
      <c r="AH23" s="1"/>
    </row>
    <row r="24" spans="2:34" ht="15" customHeight="1">
      <c r="B24" s="40"/>
      <c r="C24" s="60" t="s">
        <v>7</v>
      </c>
      <c r="D24" s="380" t="s">
        <v>36</v>
      </c>
      <c r="E24" s="380"/>
      <c r="F24" s="380"/>
      <c r="G24" s="380"/>
      <c r="H24" s="380"/>
      <c r="I24" s="380"/>
      <c r="J24" s="378"/>
      <c r="K24" s="378"/>
      <c r="L24" s="378"/>
      <c r="M24" s="40"/>
      <c r="N24" s="40"/>
      <c r="O24" s="40"/>
      <c r="S24" s="109"/>
      <c r="T24" s="491" t="s">
        <v>21</v>
      </c>
      <c r="U24" s="490"/>
      <c r="V24" s="490"/>
      <c r="W24" s="490"/>
      <c r="X24" s="1"/>
      <c r="Y24" s="21">
        <f>'Mon Entreprise'!I106</f>
        <v>0</v>
      </c>
      <c r="Z24" s="21"/>
      <c r="AA24" s="22"/>
      <c r="AB24" s="21">
        <f>IF('Mon Entreprise'!I106-'Mon Entreprise'!M106&lt;0,0,'Mon Entreprise'!I106-'Mon Entreprise'!M106)</f>
        <v>0</v>
      </c>
      <c r="AC24" s="1"/>
      <c r="AD24" s="14"/>
      <c r="AE24" s="27">
        <f>IFERROR(1-'Mon Entreprise'!M106/'Mon Entreprise'!I106,0)</f>
        <v>0</v>
      </c>
      <c r="AF24" s="1"/>
      <c r="AG24" s="1"/>
      <c r="AH24" s="1"/>
    </row>
    <row r="25" spans="2:34" ht="15"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91" t="s">
        <v>25</v>
      </c>
      <c r="U25" s="490"/>
      <c r="V25" s="490"/>
      <c r="W25" s="490"/>
      <c r="X25" s="1"/>
      <c r="Y25" s="21">
        <f>'Mon Entreprise'!I96*(Annexes!M4-1)/360</f>
        <v>0</v>
      </c>
      <c r="Z25" s="21"/>
      <c r="AA25" s="22"/>
      <c r="AB25" s="21">
        <f>IF('Mon Entreprise'!I96*(Annexes!M4-1)/360-'Mon Entreprise'!M106&lt;0,0,'Mon Entreprise'!I96*(Annexes!M4-1)/360-'Mon Entreprise'!M106)</f>
        <v>0</v>
      </c>
      <c r="AC25" s="7"/>
      <c r="AD25" s="14"/>
      <c r="AE25" s="27">
        <f>IFERROR(1-'Mon Entreprise'!M106/('Mon Entreprise'!I96*(Annexes!M4-1)/360),0)</f>
        <v>0</v>
      </c>
      <c r="AF25" s="1"/>
      <c r="AG25" s="1"/>
      <c r="AH25" s="1"/>
    </row>
    <row r="26" spans="2:34" ht="15" customHeight="1">
      <c r="B26" s="40"/>
      <c r="C26" s="60"/>
      <c r="D26" s="60"/>
      <c r="E26" s="380"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100"/>
      <c r="K26" s="100"/>
      <c r="L26" s="100"/>
      <c r="M26" s="40"/>
      <c r="N26" s="40"/>
      <c r="O26" s="40"/>
      <c r="S26" s="109"/>
      <c r="T26" s="491" t="s">
        <v>22</v>
      </c>
      <c r="U26" s="490"/>
      <c r="V26" s="490"/>
      <c r="W26" s="490"/>
      <c r="X26" s="1"/>
      <c r="Y26" s="23" t="str">
        <f>IFERROR(IF(AND('Mon Entreprise'!K8&gt;=Annexes!Q18,'Mon Entreprise'!K8&lt;=Annexes!Q23),'Mon Entreprise'!I185,IF('Mon Entreprise'!K8&gt;=Annexes!O20,'Mon Entreprise'!I177,"NC")),"NC")</f>
        <v>NC</v>
      </c>
      <c r="Z26" s="23"/>
      <c r="AA26" s="22"/>
      <c r="AB26" s="23" t="str">
        <f>IFERROR(IF(AND('Mon Entreprise'!K8&gt;=Annexes!Q18,'Mon Entreprise'!K8&lt;=Annexes!Q23),IF('Mon Entreprise'!I185-'Mon Entreprise'!I109&lt;0,0,'Mon Entreprise'!I185-'Mon Entreprise'!I109),IF('Mon Entreprise'!K8&gt;=Annexes!O20,IF('Mon Entreprise'!I177-'Mon Entreprise'!I109&lt;0,0,'Mon Entreprise'!I177-'Mon Entreprise'!I109),"NC")),"NC")</f>
        <v>NC</v>
      </c>
      <c r="AC26" s="381"/>
      <c r="AD26" s="14"/>
      <c r="AE26" s="28" t="str">
        <f>IFERROR(IF(AND('Mon Entreprise'!K8&gt;=Annexes!Q18,'Mon Entreprise'!K8&lt;=Annexes!Q24),1-'Mon Entreprise'!I109/'Mon Entreprise'!I185,IF('Mon Entreprise'!K8&gt;=Annexes!O20,1-'Mon Entreprise'!I109/'Mon Entreprise'!I177,"NC")),"NC")</f>
        <v>NC</v>
      </c>
      <c r="AF26" s="1"/>
      <c r="AG26" s="1"/>
      <c r="AH26" s="1"/>
    </row>
    <row r="27" spans="2:34" ht="15"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567"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568"/>
      <c r="F29" s="568"/>
      <c r="G29" s="568"/>
      <c r="H29" s="568"/>
      <c r="I29" s="568"/>
      <c r="J29" s="568"/>
      <c r="K29" s="568"/>
      <c r="L29" s="568"/>
      <c r="M29" s="568"/>
      <c r="N29" s="568"/>
      <c r="O29" s="569"/>
      <c r="S29" s="109"/>
      <c r="T29" s="14"/>
      <c r="U29" s="506" t="s">
        <v>72</v>
      </c>
      <c r="V29" s="506"/>
      <c r="W29" s="506"/>
      <c r="X29" s="506"/>
      <c r="Y29" s="506"/>
      <c r="Z29" s="386"/>
      <c r="AA29" s="14"/>
      <c r="AB29" s="381" t="str">
        <f>IF('Mon Entreprise'!K8&lt;=Annexes!Q23,"Oui","Non")</f>
        <v>Oui</v>
      </c>
      <c r="AC29" s="1"/>
      <c r="AD29" s="1"/>
      <c r="AE29" s="13"/>
      <c r="AF29" s="1"/>
      <c r="AG29" s="1"/>
      <c r="AH29" s="1"/>
    </row>
    <row r="30" spans="2:34" ht="15" customHeight="1">
      <c r="B30" s="1"/>
      <c r="C30" s="1"/>
      <c r="D30" s="570"/>
      <c r="E30" s="542"/>
      <c r="F30" s="542"/>
      <c r="G30" s="542"/>
      <c r="H30" s="542"/>
      <c r="I30" s="542"/>
      <c r="J30" s="542"/>
      <c r="K30" s="542"/>
      <c r="L30" s="542"/>
      <c r="M30" s="542"/>
      <c r="N30" s="542"/>
      <c r="O30" s="571"/>
      <c r="P30" s="1"/>
      <c r="Q30" s="1"/>
      <c r="R30" s="1"/>
      <c r="S30" s="109"/>
      <c r="T30" s="14"/>
      <c r="U30" s="490" t="s">
        <v>78</v>
      </c>
      <c r="V30" s="490"/>
      <c r="W30" s="490"/>
      <c r="X30" s="490"/>
      <c r="Y30" s="490"/>
      <c r="Z30" s="381"/>
      <c r="AA30" s="14"/>
      <c r="AB30" s="381">
        <f>IF(Annexes!M9=FALSE,0,IF(Annexes!M4=1,0,Annexes!M4-1))</f>
        <v>0</v>
      </c>
      <c r="AC30" s="1"/>
      <c r="AD30" s="1"/>
      <c r="AE30" s="13"/>
      <c r="AF30" s="1"/>
      <c r="AG30" s="1"/>
      <c r="AH30" s="1"/>
    </row>
    <row r="31" spans="2:34" ht="15" hidden="1" customHeight="1">
      <c r="B31" s="1"/>
      <c r="C31" s="1"/>
      <c r="D31" s="570"/>
      <c r="E31" s="542"/>
      <c r="F31" s="542"/>
      <c r="G31" s="542"/>
      <c r="H31" s="542"/>
      <c r="I31" s="542"/>
      <c r="J31" s="542"/>
      <c r="K31" s="542"/>
      <c r="L31" s="542"/>
      <c r="M31" s="542"/>
      <c r="N31" s="542"/>
      <c r="O31" s="571"/>
      <c r="P31" s="1"/>
      <c r="Q31" s="1"/>
      <c r="R31" s="1"/>
      <c r="S31" s="1"/>
      <c r="T31" s="14"/>
      <c r="U31" s="490" t="s">
        <v>79</v>
      </c>
      <c r="V31" s="490"/>
      <c r="W31" s="490"/>
      <c r="X31" s="490"/>
      <c r="Y31" s="490"/>
      <c r="Z31" s="381"/>
      <c r="AA31" s="14"/>
      <c r="AB31" s="381" t="str">
        <f>IF(Annexes!M9=FALSE,"Non",IF(Annexes!M4=1,"Non","Oui"))</f>
        <v>Non</v>
      </c>
      <c r="AC31" s="1"/>
      <c r="AD31" s="1"/>
      <c r="AE31" s="13"/>
      <c r="AF31" s="1"/>
      <c r="AG31" s="1"/>
      <c r="AH31" s="1"/>
    </row>
    <row r="32" spans="2:34" ht="15" customHeight="1">
      <c r="B32" s="1"/>
      <c r="C32" s="1"/>
      <c r="D32" s="570"/>
      <c r="E32" s="542"/>
      <c r="F32" s="542"/>
      <c r="G32" s="542"/>
      <c r="H32" s="542"/>
      <c r="I32" s="542"/>
      <c r="J32" s="542"/>
      <c r="K32" s="542"/>
      <c r="L32" s="542"/>
      <c r="M32" s="542"/>
      <c r="N32" s="542"/>
      <c r="O32" s="571"/>
      <c r="P32" s="1"/>
      <c r="Q32" s="1"/>
      <c r="R32" s="1"/>
      <c r="S32" s="1"/>
      <c r="T32" s="14"/>
      <c r="U32" s="490" t="s">
        <v>89</v>
      </c>
      <c r="V32" s="490"/>
      <c r="W32" s="490"/>
      <c r="X32" s="490"/>
      <c r="Y32" s="490"/>
      <c r="Z32" s="130"/>
      <c r="AA32" s="14"/>
      <c r="AB32" s="381">
        <f>IF('Mon Entreprise'!K8&gt;=Annexes!O20,IF(AB24&gt;=AB26,AB24,AB26),IF(AB24&gt;=AB25,AB24,AB25))</f>
        <v>0</v>
      </c>
      <c r="AC32" s="1"/>
      <c r="AD32" s="1"/>
      <c r="AE32" s="13"/>
      <c r="AF32" s="1"/>
      <c r="AG32" s="1"/>
      <c r="AH32" s="1"/>
    </row>
    <row r="33" spans="2:34" ht="15.75" thickBot="1">
      <c r="B33" s="1"/>
      <c r="C33" s="1"/>
      <c r="D33" s="572"/>
      <c r="E33" s="573"/>
      <c r="F33" s="573"/>
      <c r="G33" s="573"/>
      <c r="H33" s="573"/>
      <c r="I33" s="573"/>
      <c r="J33" s="573"/>
      <c r="K33" s="573"/>
      <c r="L33" s="573"/>
      <c r="M33" s="573"/>
      <c r="N33" s="573"/>
      <c r="O33" s="574"/>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2"/>
      <c r="C37" s="488" t="s">
        <v>31</v>
      </c>
      <c r="D37" s="488"/>
      <c r="E37" s="488"/>
      <c r="F37" s="488"/>
      <c r="G37" s="488"/>
      <c r="H37" s="488"/>
      <c r="I37" s="222"/>
      <c r="J37" s="222"/>
      <c r="K37" s="222"/>
      <c r="L37" s="222"/>
      <c r="M37" s="222"/>
      <c r="N37" s="222"/>
      <c r="O37" s="222"/>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490" t="s">
        <v>20</v>
      </c>
      <c r="V40" s="490"/>
      <c r="W40" s="490"/>
      <c r="X40" s="1"/>
      <c r="Y40" s="390" t="s">
        <v>6</v>
      </c>
      <c r="Z40" s="390"/>
      <c r="AA40" s="390"/>
      <c r="AB40" s="390" t="s">
        <v>23</v>
      </c>
      <c r="AC40" s="390"/>
      <c r="AD40" s="390"/>
      <c r="AE40" s="26" t="s">
        <v>24</v>
      </c>
    </row>
    <row r="41" spans="2:34" ht="15.75" hidden="1" thickBot="1">
      <c r="B41" s="40"/>
      <c r="C41" s="60"/>
      <c r="D41" s="40"/>
      <c r="E41" s="40"/>
      <c r="F41" s="40"/>
      <c r="G41" s="40"/>
      <c r="H41" s="40"/>
      <c r="I41" s="40"/>
      <c r="J41" s="40"/>
      <c r="K41" s="40"/>
      <c r="L41" s="40"/>
      <c r="M41" s="40"/>
      <c r="N41" s="40"/>
      <c r="O41" s="40"/>
      <c r="T41" s="25"/>
      <c r="U41" s="390"/>
      <c r="V41" s="390"/>
      <c r="W41" s="390"/>
      <c r="X41" s="1"/>
      <c r="Y41" s="390"/>
      <c r="Z41" s="390"/>
      <c r="AA41" s="390"/>
      <c r="AB41" s="390"/>
      <c r="AC41" s="390"/>
      <c r="AD41" s="390"/>
      <c r="AE41" s="26"/>
    </row>
    <row r="42" spans="2:34" hidden="1">
      <c r="B42" s="40"/>
      <c r="C42" s="40"/>
      <c r="D42" s="551"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552"/>
      <c r="F42" s="552"/>
      <c r="G42" s="552"/>
      <c r="H42" s="552"/>
      <c r="I42" s="552"/>
      <c r="J42" s="552"/>
      <c r="K42" s="552"/>
      <c r="L42" s="552"/>
      <c r="M42" s="552"/>
      <c r="N42" s="552"/>
      <c r="O42" s="553"/>
      <c r="T42" s="491" t="s">
        <v>27</v>
      </c>
      <c r="U42" s="490"/>
      <c r="V42" s="490"/>
      <c r="W42" s="490"/>
      <c r="X42" s="1"/>
      <c r="Y42" s="7">
        <f>'Mon Entreprise'!I112</f>
        <v>0</v>
      </c>
      <c r="Z42" s="21"/>
      <c r="AA42" s="22"/>
      <c r="AB42" s="7">
        <f>IF('Mon Entreprise'!I112-'Mon Entreprise'!M112&lt;0,0,'Mon Entreprise'!I112-'Mon Entreprise'!M112)</f>
        <v>0</v>
      </c>
      <c r="AC42" s="1"/>
      <c r="AD42" s="14"/>
      <c r="AE42" s="27">
        <f>IFERROR(1-'Mon Entreprise'!M112/'Mon Entreprise'!I112,0)</f>
        <v>0</v>
      </c>
    </row>
    <row r="43" spans="2:34" ht="15" hidden="1" customHeight="1">
      <c r="D43" s="554"/>
      <c r="E43" s="496"/>
      <c r="F43" s="496"/>
      <c r="G43" s="496"/>
      <c r="H43" s="496"/>
      <c r="I43" s="496"/>
      <c r="J43" s="496"/>
      <c r="K43" s="496"/>
      <c r="L43" s="496"/>
      <c r="M43" s="496"/>
      <c r="N43" s="496"/>
      <c r="O43" s="555"/>
      <c r="T43" s="491" t="s">
        <v>25</v>
      </c>
      <c r="U43" s="490"/>
      <c r="V43" s="490"/>
      <c r="W43" s="490"/>
      <c r="X43" s="1"/>
      <c r="Y43" s="7">
        <f>'Mon Entreprise'!I98</f>
        <v>0</v>
      </c>
      <c r="Z43" s="21"/>
      <c r="AA43" s="22"/>
      <c r="AB43" s="7">
        <f>IF('Mon Entreprise'!I98-'Mon Entreprise'!M112&lt;0,0,'Mon Entreprise'!I98-'Mon Entreprise'!M112)</f>
        <v>0</v>
      </c>
      <c r="AC43" s="7"/>
      <c r="AD43" s="14"/>
      <c r="AE43" s="27">
        <f>IFERROR(1-'Mon Entreprise'!M112/'Mon Entreprise'!I98,0)</f>
        <v>0</v>
      </c>
    </row>
    <row r="44" spans="2:34" ht="15" hidden="1" customHeight="1">
      <c r="C44" s="104"/>
      <c r="D44" s="554"/>
      <c r="E44" s="496"/>
      <c r="F44" s="496"/>
      <c r="G44" s="496"/>
      <c r="H44" s="496"/>
      <c r="I44" s="496"/>
      <c r="J44" s="496"/>
      <c r="K44" s="496"/>
      <c r="L44" s="496"/>
      <c r="M44" s="496"/>
      <c r="N44" s="496"/>
      <c r="O44" s="555"/>
      <c r="Q44" s="99"/>
      <c r="R44" s="99"/>
      <c r="S44" s="99"/>
      <c r="T44" s="501" t="s">
        <v>22</v>
      </c>
      <c r="U44" s="502"/>
      <c r="V44" s="502"/>
      <c r="W44" s="502"/>
      <c r="X44" s="139"/>
      <c r="Y44" s="140" t="str">
        <f>IF('Mon Entreprise'!I176="","NC",'Mon Entreprise'!I176)</f>
        <v>NC</v>
      </c>
      <c r="Z44" s="141"/>
      <c r="AA44" s="142"/>
      <c r="AB44" s="143" t="str">
        <f>IFERROR(IF('Mon Entreprise'!I176-'Mon Entreprise'!M112&lt;0,0,'Mon Entreprise'!I176-'Mon Entreprise'!M112),"NC")</f>
        <v>NC</v>
      </c>
      <c r="AC44" s="385"/>
      <c r="AD44" s="145"/>
      <c r="AE44" s="146" t="str">
        <f>IFERROR(1-'Mon Entreprise'!M112/'Mon Entreprise'!I176,"NC")</f>
        <v>NC</v>
      </c>
      <c r="AF44" s="99"/>
    </row>
    <row r="45" spans="2:34" ht="15" hidden="1" customHeight="1">
      <c r="C45" s="104"/>
      <c r="D45" s="554"/>
      <c r="E45" s="496"/>
      <c r="F45" s="496"/>
      <c r="G45" s="496"/>
      <c r="H45" s="496"/>
      <c r="I45" s="496"/>
      <c r="J45" s="496"/>
      <c r="K45" s="496"/>
      <c r="L45" s="496"/>
      <c r="M45" s="496"/>
      <c r="N45" s="496"/>
      <c r="O45" s="555"/>
      <c r="T45" s="14"/>
      <c r="U45" s="1"/>
      <c r="V45" s="1"/>
      <c r="W45" s="1"/>
      <c r="X45" s="1"/>
      <c r="Y45" s="1"/>
      <c r="Z45" s="1"/>
      <c r="AA45" s="1"/>
      <c r="AB45" s="1"/>
      <c r="AC45" s="1"/>
      <c r="AD45" s="1"/>
      <c r="AE45" s="13"/>
    </row>
    <row r="46" spans="2:34" ht="15.75" hidden="1" customHeight="1" thickBot="1">
      <c r="C46" s="104"/>
      <c r="D46" s="556"/>
      <c r="E46" s="557"/>
      <c r="F46" s="557"/>
      <c r="G46" s="557"/>
      <c r="H46" s="557"/>
      <c r="I46" s="557"/>
      <c r="J46" s="557"/>
      <c r="K46" s="557"/>
      <c r="L46" s="557"/>
      <c r="M46" s="557"/>
      <c r="N46" s="557"/>
      <c r="O46" s="558"/>
      <c r="T46" s="537" t="s">
        <v>4</v>
      </c>
      <c r="U46" s="506"/>
      <c r="V46" s="506"/>
      <c r="W46" s="506"/>
      <c r="X46" s="506"/>
      <c r="Y46" s="506"/>
      <c r="Z46" s="124"/>
      <c r="AA46" s="14"/>
      <c r="AB46" s="19">
        <f>IFERROR(IF('Mon Entreprise'!K8&lt;Annexes!O17,IF(1-'Mon Entreprise'!M118/'Mon Entreprise'!I118&gt;=1-'Mon Entreprise'!M118/('Mon Entreprise'!I98*2),1-'Mon Entreprise'!M118/'Mon Entreprise'!I118,1-'Mon Entreprise'!M118/('Mon Entreprise'!I98*2)),1-'Mon Entreprise'!M118/'Mon Entreprise'!I190),0)</f>
        <v>0</v>
      </c>
      <c r="AC46" s="1"/>
      <c r="AD46" s="1"/>
      <c r="AE46" s="13"/>
    </row>
    <row r="47" spans="2:34" ht="18.75" customHeight="1">
      <c r="C47" s="80"/>
      <c r="D47" s="80"/>
      <c r="E47" s="80"/>
      <c r="F47" s="80"/>
      <c r="G47" s="80"/>
      <c r="H47" s="80"/>
      <c r="I47" s="80"/>
      <c r="J47" s="80"/>
      <c r="K47" s="80"/>
      <c r="L47" s="80"/>
      <c r="M47" s="80"/>
      <c r="N47" s="80"/>
      <c r="O47" s="80"/>
      <c r="T47" s="14"/>
      <c r="U47" s="506" t="s">
        <v>8</v>
      </c>
      <c r="V47" s="506"/>
      <c r="W47" s="506"/>
      <c r="X47" s="506"/>
      <c r="Y47" s="506"/>
      <c r="Z47" s="124"/>
      <c r="AA47" s="14"/>
      <c r="AB47" s="381" t="str">
        <f>IF((AND(Annexes!F5&gt;1,Annexes!F5&lt;=Annexes!H6)),"OUI","NON")</f>
        <v>NON</v>
      </c>
      <c r="AC47" s="1"/>
      <c r="AD47" s="1"/>
      <c r="AE47" s="13"/>
    </row>
    <row r="48" spans="2:34" ht="15" customHeight="1">
      <c r="T48" s="14"/>
      <c r="U48" s="562" t="s">
        <v>9</v>
      </c>
      <c r="V48" s="562"/>
      <c r="W48" s="562"/>
      <c r="X48" s="562"/>
      <c r="Y48" s="562"/>
      <c r="Z48" s="125"/>
      <c r="AA48" s="14"/>
      <c r="AB48" s="381" t="str">
        <f>IF((AND(Annexes!F7&gt;1,Annexes!F7&lt;=Annexes!H8)),"OUI","NON")</f>
        <v>NON</v>
      </c>
      <c r="AC48" s="1"/>
      <c r="AD48" s="1"/>
      <c r="AE48" s="13"/>
    </row>
    <row r="49" spans="3:31" ht="15" customHeight="1">
      <c r="C49" s="559" t="s">
        <v>400</v>
      </c>
      <c r="D49" s="559"/>
      <c r="E49" s="559"/>
      <c r="F49" s="559"/>
      <c r="G49" s="559"/>
      <c r="H49" s="559"/>
      <c r="I49" s="559"/>
      <c r="J49" s="559"/>
      <c r="K49" s="559"/>
      <c r="L49" s="559"/>
      <c r="M49" s="559"/>
      <c r="N49" s="559"/>
      <c r="O49" s="559"/>
      <c r="T49" s="14"/>
      <c r="U49" s="506" t="s">
        <v>71</v>
      </c>
      <c r="V49" s="506"/>
      <c r="W49" s="506"/>
      <c r="X49" s="506"/>
      <c r="Y49" s="506"/>
      <c r="Z49" s="124"/>
      <c r="AA49" s="14"/>
      <c r="AB49" s="381">
        <f>IF(AB47="OUI",Annexes!O6,IF(AND(AB48="OUI",AB46&gt;=0.8),Annexes!O6,Annexes!O5))</f>
        <v>1500</v>
      </c>
      <c r="AC49" s="1"/>
      <c r="AD49" s="1"/>
      <c r="AE49" s="13"/>
    </row>
    <row r="50" spans="3:31" ht="15" customHeight="1">
      <c r="C50" s="559"/>
      <c r="D50" s="559"/>
      <c r="E50" s="559"/>
      <c r="F50" s="559"/>
      <c r="G50" s="559"/>
      <c r="H50" s="559"/>
      <c r="I50" s="559"/>
      <c r="J50" s="559"/>
      <c r="K50" s="559"/>
      <c r="L50" s="559"/>
      <c r="M50" s="559"/>
      <c r="N50" s="559"/>
      <c r="O50" s="559"/>
      <c r="T50" s="14"/>
      <c r="U50" s="506" t="s">
        <v>72</v>
      </c>
      <c r="V50" s="506"/>
      <c r="W50" s="506"/>
      <c r="X50" s="506"/>
      <c r="Y50" s="506"/>
      <c r="Z50" s="124"/>
      <c r="AA50" s="14"/>
      <c r="AB50" s="381" t="str">
        <f>IF('Mon Entreprise'!K8&lt;=Annexes!Q24,"Oui","Non")</f>
        <v>Oui</v>
      </c>
      <c r="AC50" s="1"/>
      <c r="AD50" s="1"/>
      <c r="AE50" s="13"/>
    </row>
    <row r="51" spans="3:31" ht="15"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506" t="s">
        <v>84</v>
      </c>
      <c r="V51" s="506"/>
      <c r="W51" s="506"/>
      <c r="X51" s="506"/>
      <c r="Y51" s="506"/>
      <c r="Z51" s="124"/>
      <c r="AA51" s="14"/>
      <c r="AB51" s="381">
        <f>IF('Mon Entreprise'!K8&gt;=Annexes!O20,IF(AB42&gt;=AB44,AB42,AB44),IF(AB42&gt;=AB43,AB42,AB43))</f>
        <v>0</v>
      </c>
      <c r="AC51" s="1"/>
      <c r="AD51" s="1"/>
      <c r="AE51" s="13"/>
    </row>
    <row r="52" spans="3:31" ht="15" customHeight="1">
      <c r="C52" s="58"/>
      <c r="D52" s="560"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560"/>
      <c r="F52" s="560"/>
      <c r="G52" s="560"/>
      <c r="H52" s="560"/>
      <c r="I52" s="560"/>
      <c r="J52" s="560"/>
      <c r="K52" s="560"/>
      <c r="L52" s="560"/>
      <c r="M52" s="560"/>
      <c r="N52" s="560"/>
      <c r="O52" s="560"/>
      <c r="T52" s="14"/>
      <c r="U52" s="506" t="s">
        <v>85</v>
      </c>
      <c r="V52" s="506"/>
      <c r="W52" s="506"/>
      <c r="X52" s="506"/>
      <c r="Y52" s="506"/>
      <c r="Z52" s="124"/>
      <c r="AA52" s="14"/>
      <c r="AB52" s="19">
        <f>IF('Mon Entreprise'!K8&gt;=Annexes!O20,IF(AB42&gt;=AB44,AE42,AE44),IF(AB42&gt;=AB43,AE42,AE43))</f>
        <v>0</v>
      </c>
      <c r="AC52" s="1"/>
      <c r="AD52" s="1"/>
      <c r="AE52" s="13"/>
    </row>
    <row r="53" spans="3:31" ht="15" customHeight="1">
      <c r="C53" s="58"/>
      <c r="D53" s="560"/>
      <c r="E53" s="560"/>
      <c r="F53" s="560"/>
      <c r="G53" s="560"/>
      <c r="H53" s="560"/>
      <c r="I53" s="560"/>
      <c r="J53" s="560"/>
      <c r="K53" s="560"/>
      <c r="L53" s="560"/>
      <c r="M53" s="560"/>
      <c r="N53" s="560"/>
      <c r="O53" s="560"/>
      <c r="T53" s="14"/>
      <c r="U53" s="506" t="s">
        <v>73</v>
      </c>
      <c r="V53" s="506"/>
      <c r="W53" s="506"/>
      <c r="X53" s="506"/>
      <c r="Y53" s="506"/>
      <c r="Z53" s="124"/>
      <c r="AA53" s="14"/>
      <c r="AB53" s="381">
        <f>IF(AB52&gt;=0.7,IF(AB47="OUI",Annexes!O6,IF(AND(AB48="OUI",AB46&gt;=0.8),Annexes!O6,0)),IF(AB52&gt;=0.5,IF(AB47="OUI",Annexes!O5,IF(AND(AB48="OUI",AB46&gt;=0.8),Annexes!O5,0)),0))</f>
        <v>0</v>
      </c>
      <c r="AC53" s="1"/>
      <c r="AD53" s="1"/>
      <c r="AE53" s="13"/>
    </row>
    <row r="54" spans="3:31" ht="15"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506" t="s">
        <v>74</v>
      </c>
      <c r="V54" s="506"/>
      <c r="W54" s="506"/>
      <c r="X54" s="506"/>
      <c r="Y54" s="506"/>
      <c r="Z54" s="124"/>
      <c r="AA54" s="14"/>
      <c r="AB54" s="381">
        <f>IF(AB52&gt;=0.7,IF(AB47="OUI",Annexes!P6,IF(AND(AB48="OUI",AB46&gt;=0.8),Annexes!P6,1)),1)</f>
        <v>1</v>
      </c>
      <c r="AC54" s="1"/>
      <c r="AD54" s="1"/>
      <c r="AE54" s="13"/>
    </row>
    <row r="55" spans="3:31" ht="15" customHeight="1" thickBot="1">
      <c r="C55" s="58"/>
      <c r="D55" s="58"/>
      <c r="E55" s="58"/>
      <c r="F55" s="58"/>
      <c r="G55" s="58"/>
      <c r="H55" s="58"/>
      <c r="I55" s="58"/>
      <c r="J55" s="58"/>
      <c r="K55" s="58"/>
      <c r="L55" s="58"/>
      <c r="M55" s="58"/>
      <c r="N55" s="58"/>
      <c r="O55" s="58"/>
      <c r="T55" s="14"/>
      <c r="U55" s="490" t="s">
        <v>80</v>
      </c>
      <c r="V55" s="490"/>
      <c r="W55" s="490"/>
      <c r="X55" s="490"/>
      <c r="Y55" s="490"/>
      <c r="Z55" s="1"/>
      <c r="AA55" s="14"/>
      <c r="AB55" s="381">
        <f>IF('Mon Entreprise'!K8&gt;=Annexes!O20,IF(AB42&gt;=AB44,Y42,Y44),IF(AB42&gt;=AB43,Y42,Y43))</f>
        <v>0</v>
      </c>
      <c r="AC55" s="1"/>
      <c r="AD55" s="1"/>
      <c r="AE55" s="13"/>
    </row>
    <row r="56" spans="3:31" ht="15.75" customHeight="1">
      <c r="D56" s="508"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509"/>
      <c r="F56" s="509"/>
      <c r="G56" s="509"/>
      <c r="H56" s="509"/>
      <c r="I56" s="509"/>
      <c r="J56" s="509"/>
      <c r="K56" s="509"/>
      <c r="L56" s="509"/>
      <c r="M56" s="509"/>
      <c r="N56" s="509"/>
      <c r="O56" s="510"/>
      <c r="T56" s="14"/>
      <c r="U56" s="490" t="s">
        <v>401</v>
      </c>
      <c r="V56" s="490"/>
      <c r="W56" s="490"/>
      <c r="X56" s="490"/>
      <c r="Y56" s="490"/>
      <c r="Z56" s="1"/>
      <c r="AA56" s="14"/>
      <c r="AB56" s="381">
        <f>IFERROR(IF(AB51&gt;AB55*AB54,IF(AND(AB51&gt;1500,1500&gt;AB55*AB54),1500,IF(1500&gt;AB51,AB51,AB55*AB54)),AB51),0)</f>
        <v>0</v>
      </c>
      <c r="AC56" s="1"/>
      <c r="AD56" s="1"/>
      <c r="AE56" s="13"/>
    </row>
    <row r="57" spans="3:31" ht="15" customHeight="1">
      <c r="D57" s="511"/>
      <c r="E57" s="512"/>
      <c r="F57" s="512"/>
      <c r="G57" s="512"/>
      <c r="H57" s="512"/>
      <c r="I57" s="512"/>
      <c r="J57" s="512"/>
      <c r="K57" s="512"/>
      <c r="L57" s="512"/>
      <c r="M57" s="512"/>
      <c r="N57" s="512"/>
      <c r="O57" s="513"/>
      <c r="T57" s="14"/>
      <c r="U57" s="1"/>
      <c r="V57" s="1"/>
      <c r="W57" s="1"/>
      <c r="X57" s="1"/>
      <c r="Y57" s="1"/>
      <c r="Z57" s="1"/>
      <c r="AA57" s="1"/>
      <c r="AB57" s="1"/>
      <c r="AC57" s="1"/>
      <c r="AD57" s="1"/>
      <c r="AE57" s="13"/>
    </row>
    <row r="58" spans="3:31" ht="15" customHeight="1">
      <c r="D58" s="511"/>
      <c r="E58" s="512"/>
      <c r="F58" s="512"/>
      <c r="G58" s="512"/>
      <c r="H58" s="512"/>
      <c r="I58" s="512"/>
      <c r="J58" s="512"/>
      <c r="K58" s="512"/>
      <c r="L58" s="512"/>
      <c r="M58" s="512"/>
      <c r="N58" s="512"/>
      <c r="O58" s="513"/>
      <c r="T58" s="14"/>
      <c r="U58" s="1"/>
      <c r="V58" s="1"/>
      <c r="W58" s="1"/>
      <c r="X58" s="1"/>
      <c r="Y58" s="1"/>
      <c r="Z58" s="1"/>
      <c r="AA58" s="1"/>
      <c r="AB58" s="1"/>
      <c r="AC58" s="1"/>
      <c r="AD58" s="1"/>
      <c r="AE58" s="13"/>
    </row>
    <row r="59" spans="3:31" ht="15" customHeight="1" thickBot="1">
      <c r="D59" s="514"/>
      <c r="E59" s="515"/>
      <c r="F59" s="515"/>
      <c r="G59" s="515"/>
      <c r="H59" s="515"/>
      <c r="I59" s="515"/>
      <c r="J59" s="515"/>
      <c r="K59" s="515"/>
      <c r="L59" s="515"/>
      <c r="M59" s="515"/>
      <c r="N59" s="515"/>
      <c r="O59" s="516"/>
      <c r="T59" s="14"/>
      <c r="U59" s="1"/>
      <c r="V59" s="1"/>
      <c r="W59" s="1"/>
      <c r="X59" s="1"/>
      <c r="Y59" s="1"/>
      <c r="Z59" s="1"/>
      <c r="AA59" s="1"/>
      <c r="AB59" s="1"/>
      <c r="AC59" s="1"/>
      <c r="AD59" s="1"/>
      <c r="AE59" s="13"/>
    </row>
    <row r="60" spans="3:31" ht="15.75" customHeight="1">
      <c r="C60" s="78"/>
      <c r="D60" s="78"/>
      <c r="E60" s="78"/>
      <c r="F60" s="78"/>
      <c r="G60" s="78"/>
      <c r="H60" s="78"/>
      <c r="I60" s="78"/>
      <c r="J60" s="78"/>
      <c r="K60" s="78"/>
      <c r="L60" s="78"/>
      <c r="M60" s="78"/>
      <c r="N60" s="78"/>
      <c r="O60" s="78"/>
      <c r="T60" s="14"/>
      <c r="U60" s="490" t="s">
        <v>75</v>
      </c>
      <c r="V60" s="490"/>
      <c r="W60" s="490"/>
      <c r="X60" s="490"/>
      <c r="Y60" s="490"/>
      <c r="Z60" s="1"/>
      <c r="AA60" s="14"/>
      <c r="AB60" s="1">
        <f>IFERROR(IF(AB50="Non",0,IF(Annexes!M13=FALSE,0,IF(AB52&gt;=0.5,IF(AB49=Annexes!O6,IF(AB51&gt;=Annexes!O6,Annexes!O6,IF(AB51=0,0,ROUND(AB51,0))),IF(AB49=Annexes!O5,IF(AB51&gt;Annexes!O5,Annexes!O5,IF(AB51=0,0,ROUND(AB51,0))),)),0))),0)</f>
        <v>0</v>
      </c>
      <c r="AC60" s="1"/>
      <c r="AD60" s="1"/>
      <c r="AE60" s="13"/>
    </row>
    <row r="61" spans="3:31" ht="15" customHeight="1">
      <c r="T61" s="14"/>
      <c r="U61" s="490" t="s">
        <v>76</v>
      </c>
      <c r="V61" s="490"/>
      <c r="W61" s="490"/>
      <c r="X61" s="490"/>
      <c r="Y61" s="490"/>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customHeight="1">
      <c r="C62" s="547" t="s">
        <v>402</v>
      </c>
      <c r="D62" s="547"/>
      <c r="E62" s="547"/>
      <c r="F62" s="547"/>
      <c r="G62" s="547"/>
      <c r="H62" s="547"/>
      <c r="I62" s="547"/>
      <c r="J62" s="547"/>
      <c r="K62" s="547"/>
      <c r="L62" s="547"/>
      <c r="M62" s="547"/>
      <c r="N62" s="547"/>
      <c r="O62" s="547"/>
      <c r="P62" s="40"/>
      <c r="T62" s="14"/>
      <c r="U62" s="490" t="s">
        <v>77</v>
      </c>
      <c r="V62" s="490"/>
      <c r="W62" s="490"/>
      <c r="X62" s="490"/>
      <c r="Y62" s="490"/>
      <c r="Z62" s="1"/>
      <c r="AA62" s="14"/>
      <c r="AB62" s="1">
        <f>IFERROR(IF(AB82="NON",0,IF(AB84="Non",0,IF(AB85&gt;Annexes!O7*(Annexes!M6-1),IF(Annexes!O7*(Annexes!M6-1)&gt;10000,10000,Annexes!O7*(Annexes!M6-1)),ROUND(IF(AB85&gt;10000,10000,AB85),0)))),0)</f>
        <v>0</v>
      </c>
      <c r="AC62" s="1"/>
      <c r="AD62" s="1"/>
      <c r="AE62" s="13"/>
    </row>
    <row r="63" spans="3:31" ht="15" customHeight="1">
      <c r="C63" s="547"/>
      <c r="D63" s="547"/>
      <c r="E63" s="547"/>
      <c r="F63" s="547"/>
      <c r="G63" s="547"/>
      <c r="H63" s="547"/>
      <c r="I63" s="547"/>
      <c r="J63" s="547"/>
      <c r="K63" s="547"/>
      <c r="L63" s="547"/>
      <c r="M63" s="547"/>
      <c r="N63" s="547"/>
      <c r="O63" s="547"/>
      <c r="P63" s="40"/>
      <c r="T63" s="14"/>
      <c r="U63" s="1"/>
      <c r="V63" s="1"/>
      <c r="W63" s="1"/>
      <c r="X63" s="1"/>
      <c r="Y63" s="1"/>
      <c r="Z63" s="1"/>
      <c r="AA63" s="1"/>
      <c r="AB63" s="1"/>
      <c r="AC63" s="1"/>
      <c r="AD63" s="1"/>
      <c r="AE63" s="13"/>
    </row>
    <row r="64" spans="3:31" ht="15" customHeight="1">
      <c r="C64" s="60"/>
      <c r="D64" s="56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561"/>
      <c r="F64" s="561"/>
      <c r="G64" s="561"/>
      <c r="H64" s="561"/>
      <c r="I64" s="561"/>
      <c r="J64" s="561"/>
      <c r="K64" s="561"/>
      <c r="L64" s="561"/>
      <c r="M64" s="561"/>
      <c r="N64" s="561"/>
      <c r="O64" s="561"/>
      <c r="P64" s="40"/>
      <c r="T64" s="14"/>
      <c r="U64" s="1"/>
      <c r="V64" s="1"/>
      <c r="W64" s="1"/>
      <c r="X64" s="1"/>
      <c r="Y64" s="1"/>
      <c r="Z64" s="1"/>
      <c r="AA64" s="1"/>
      <c r="AB64" s="1"/>
      <c r="AC64" s="1"/>
      <c r="AD64" s="1"/>
      <c r="AE64" s="13"/>
    </row>
    <row r="65" spans="2:31" ht="15" customHeight="1">
      <c r="C65" s="60"/>
      <c r="D65" s="561"/>
      <c r="E65" s="561"/>
      <c r="F65" s="561"/>
      <c r="G65" s="561"/>
      <c r="H65" s="561"/>
      <c r="I65" s="561"/>
      <c r="J65" s="561"/>
      <c r="K65" s="561"/>
      <c r="L65" s="561"/>
      <c r="M65" s="561"/>
      <c r="N65" s="561"/>
      <c r="O65" s="561"/>
      <c r="P65" s="40"/>
      <c r="T65" s="14"/>
      <c r="U65" s="1"/>
      <c r="V65" s="1"/>
      <c r="W65" s="1"/>
      <c r="X65" s="1"/>
      <c r="Y65" s="1"/>
      <c r="Z65" s="1"/>
      <c r="AA65" s="1"/>
      <c r="AB65" s="1"/>
      <c r="AC65" s="1"/>
      <c r="AD65" s="1"/>
      <c r="AE65" s="13"/>
    </row>
    <row r="66" spans="2:31" ht="15"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384"/>
      <c r="U66" s="1"/>
      <c r="V66" s="1"/>
      <c r="W66" s="1"/>
      <c r="X66" s="1"/>
      <c r="Y66" s="1"/>
      <c r="Z66" s="1"/>
      <c r="AA66" s="1"/>
      <c r="AB66" s="1"/>
      <c r="AC66" s="1"/>
      <c r="AD66" s="1"/>
      <c r="AE66" s="13"/>
    </row>
    <row r="67" spans="2:31" ht="15"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customHeight="1" thickBot="1">
      <c r="T68" s="14"/>
      <c r="U68" s="1"/>
      <c r="V68" s="1"/>
      <c r="W68" s="1"/>
      <c r="X68" s="1"/>
      <c r="Y68" s="1"/>
      <c r="Z68" s="1"/>
      <c r="AA68" s="1"/>
      <c r="AB68" s="1"/>
      <c r="AC68" s="1"/>
      <c r="AD68" s="1"/>
      <c r="AE68" s="13"/>
    </row>
    <row r="69" spans="2:31" ht="15" customHeight="1">
      <c r="D69" s="508"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509"/>
      <c r="F69" s="509"/>
      <c r="G69" s="509"/>
      <c r="H69" s="509"/>
      <c r="I69" s="509"/>
      <c r="J69" s="509"/>
      <c r="K69" s="509"/>
      <c r="L69" s="509"/>
      <c r="M69" s="509"/>
      <c r="N69" s="509"/>
      <c r="O69" s="510"/>
      <c r="T69" s="30"/>
      <c r="U69" s="1"/>
      <c r="V69" s="1"/>
      <c r="W69" s="1"/>
      <c r="X69" s="1"/>
      <c r="Y69" s="1"/>
      <c r="Z69" s="1"/>
      <c r="AA69" s="1"/>
      <c r="AB69" s="1"/>
      <c r="AC69" s="1"/>
      <c r="AD69" s="1"/>
      <c r="AE69" s="13"/>
    </row>
    <row r="70" spans="2:31" ht="15" customHeight="1">
      <c r="D70" s="511"/>
      <c r="E70" s="512"/>
      <c r="F70" s="512"/>
      <c r="G70" s="512"/>
      <c r="H70" s="512"/>
      <c r="I70" s="512"/>
      <c r="J70" s="512"/>
      <c r="K70" s="512"/>
      <c r="L70" s="512"/>
      <c r="M70" s="512"/>
      <c r="N70" s="512"/>
      <c r="O70" s="513"/>
      <c r="T70" s="20"/>
      <c r="U70" s="38"/>
      <c r="V70" s="1"/>
      <c r="W70" s="1"/>
      <c r="X70" s="1"/>
      <c r="Y70" s="1"/>
      <c r="Z70" s="1"/>
      <c r="AA70" s="1"/>
      <c r="AB70" s="1"/>
      <c r="AC70" s="1"/>
      <c r="AD70" s="1"/>
      <c r="AE70" s="13"/>
    </row>
    <row r="71" spans="2:31" ht="15.75" customHeight="1">
      <c r="D71" s="511"/>
      <c r="E71" s="512"/>
      <c r="F71" s="512"/>
      <c r="G71" s="512"/>
      <c r="H71" s="512"/>
      <c r="I71" s="512"/>
      <c r="J71" s="512"/>
      <c r="K71" s="512"/>
      <c r="L71" s="512"/>
      <c r="M71" s="512"/>
      <c r="N71" s="512"/>
      <c r="O71" s="513"/>
      <c r="T71" s="14"/>
      <c r="U71" s="1"/>
      <c r="V71" s="1"/>
      <c r="W71" s="1"/>
      <c r="X71" s="1"/>
      <c r="Y71" s="1"/>
      <c r="Z71" s="1"/>
      <c r="AA71" s="1"/>
      <c r="AB71" s="1"/>
      <c r="AC71" s="1"/>
      <c r="AD71" s="1"/>
      <c r="AE71" s="13"/>
    </row>
    <row r="72" spans="2:31" ht="15.75" customHeight="1" thickBot="1">
      <c r="D72" s="514"/>
      <c r="E72" s="515"/>
      <c r="F72" s="515"/>
      <c r="G72" s="515"/>
      <c r="H72" s="515"/>
      <c r="I72" s="515"/>
      <c r="J72" s="515"/>
      <c r="K72" s="515"/>
      <c r="L72" s="515"/>
      <c r="M72" s="515"/>
      <c r="N72" s="515"/>
      <c r="O72" s="516"/>
      <c r="T72" s="14"/>
      <c r="U72" s="1"/>
      <c r="V72" s="1"/>
      <c r="W72" s="1"/>
      <c r="X72" s="1"/>
      <c r="Y72" s="1"/>
      <c r="Z72" s="1"/>
      <c r="AA72" s="1"/>
      <c r="AB72" s="1"/>
      <c r="AC72" s="1"/>
      <c r="AD72" s="1"/>
      <c r="AE72" s="13"/>
    </row>
    <row r="73" spans="2:31" ht="15"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customHeight="1">
      <c r="B74" s="5"/>
      <c r="C74" s="5"/>
      <c r="D74" s="5"/>
      <c r="P74" s="1"/>
      <c r="T74" s="14"/>
      <c r="U74" s="1"/>
      <c r="V74" s="1"/>
      <c r="W74" s="1"/>
      <c r="X74" s="1"/>
      <c r="Y74" s="1"/>
      <c r="Z74" s="1"/>
      <c r="AA74" s="1"/>
      <c r="AB74" s="1"/>
      <c r="AC74" s="1"/>
      <c r="AD74" s="1"/>
      <c r="AE74" s="13"/>
    </row>
    <row r="75" spans="2:31" ht="15.75" customHeight="1">
      <c r="B75" s="58"/>
      <c r="C75" s="121" t="s">
        <v>63</v>
      </c>
      <c r="D75" s="121"/>
      <c r="E75" s="60"/>
      <c r="F75" s="60"/>
      <c r="G75" s="60"/>
      <c r="H75" s="60"/>
      <c r="I75" s="60"/>
      <c r="J75" s="60"/>
      <c r="K75" s="60"/>
      <c r="L75" s="380"/>
      <c r="M75" s="60"/>
      <c r="N75" s="60"/>
      <c r="O75" s="60"/>
      <c r="P75" s="44"/>
      <c r="T75" s="14"/>
      <c r="U75" s="1"/>
      <c r="V75" s="1"/>
      <c r="W75" s="1"/>
      <c r="X75" s="1"/>
      <c r="Y75" s="1"/>
      <c r="Z75" s="1"/>
      <c r="AA75" s="1"/>
      <c r="AB75" s="1"/>
      <c r="AC75" s="1"/>
      <c r="AD75" s="1"/>
      <c r="AE75" s="13"/>
    </row>
    <row r="76" spans="2:31" ht="15"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8"/>
      <c r="U76" s="490" t="s">
        <v>20</v>
      </c>
      <c r="V76" s="490"/>
      <c r="W76" s="490"/>
      <c r="X76" s="1"/>
      <c r="Y76" s="390" t="s">
        <v>6</v>
      </c>
      <c r="Z76" s="390"/>
      <c r="AA76" s="390"/>
      <c r="AB76" s="390" t="s">
        <v>23</v>
      </c>
      <c r="AC76" s="390"/>
      <c r="AD76" s="390"/>
      <c r="AE76" s="26" t="s">
        <v>24</v>
      </c>
    </row>
    <row r="77" spans="2:31" ht="15"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91" t="s">
        <v>29</v>
      </c>
      <c r="U77" s="490"/>
      <c r="V77" s="490"/>
      <c r="W77" s="490"/>
      <c r="X77" s="1"/>
      <c r="Y77" s="7">
        <f>'Mon Entreprise'!M109</f>
        <v>0</v>
      </c>
      <c r="Z77" s="21"/>
      <c r="AA77" s="22"/>
      <c r="AB77" s="7">
        <f>IF('Mon Entreprise'!I109-'Mon Entreprise'!M109&lt;0,0,'Mon Entreprise'!I109-'Mon Entreprise'!M109)</f>
        <v>0</v>
      </c>
      <c r="AC77" s="1"/>
      <c r="AD77" s="14"/>
      <c r="AE77" s="27">
        <f>IFERROR(1-'Mon Entreprise'!M109/'Mon Entreprise'!I109,0)</f>
        <v>0</v>
      </c>
    </row>
    <row r="78" spans="2:31" ht="15"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91" t="s">
        <v>25</v>
      </c>
      <c r="U78" s="490"/>
      <c r="V78" s="490"/>
      <c r="W78" s="490"/>
      <c r="X78" s="1"/>
      <c r="Y78" s="7">
        <f>'Mon Entreprise'!I96*(Annexes!M4-1)/360</f>
        <v>0</v>
      </c>
      <c r="Z78" s="21"/>
      <c r="AA78" s="22"/>
      <c r="AB78" s="7">
        <f>IF('Mon Entreprise'!I96*(Annexes!M6-1)/360-'Mon Entreprise'!M109&lt;0,0,'Mon Entreprise'!I96*(Annexes!M6-1)/360-'Mon Entreprise'!M109)</f>
        <v>0</v>
      </c>
      <c r="AC78" s="7"/>
      <c r="AD78" s="14"/>
      <c r="AE78" s="27">
        <f>IFERROR(1-'Mon Entreprise'!M109/('Mon Entreprise'!I96*(Annexes!M6-1)/360),0)</f>
        <v>0</v>
      </c>
    </row>
    <row r="79" spans="2:31" ht="15" customHeight="1" thickBot="1">
      <c r="C79" s="5"/>
      <c r="D79" s="5"/>
      <c r="Q79" s="61"/>
      <c r="R79" s="44"/>
      <c r="S79" s="1"/>
      <c r="T79" s="491" t="s">
        <v>22</v>
      </c>
      <c r="U79" s="490"/>
      <c r="V79" s="490"/>
      <c r="W79" s="490"/>
      <c r="X79" s="1"/>
      <c r="Y79" s="18" t="str">
        <f>IFERROR(IF('Mon Entreprise'!K8&gt;=Annexes!O20,'Mon Entreprise'!I178,"NC"),"NC")</f>
        <v>NC</v>
      </c>
      <c r="Z79" s="23"/>
      <c r="AA79" s="22"/>
      <c r="AB79" s="37" t="str">
        <f>IFERROR(IF('Mon Entreprise'!K8&gt;=Annexes!O20,IF('Mon Entreprise'!I178-'Mon Entreprise'!M109&lt;0,0,'Mon Entreprise'!I178-'Mon Entreprise'!M109),"NC"),"NC")</f>
        <v>NC</v>
      </c>
      <c r="AC79" s="381"/>
      <c r="AD79" s="14"/>
      <c r="AE79" s="28" t="str">
        <f>IFERROR(IF('Mon Entreprise'!K8&gt;=Annexes!O20,1-'Mon Entreprise'!M109/'Mon Entreprise'!I178,"NC"),"NC")</f>
        <v>NC</v>
      </c>
    </row>
    <row r="80" spans="2:31" ht="15" customHeight="1">
      <c r="B80" s="5"/>
      <c r="C80" s="5"/>
      <c r="D80" s="538"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539"/>
      <c r="F80" s="539"/>
      <c r="G80" s="539"/>
      <c r="H80" s="539"/>
      <c r="I80" s="539"/>
      <c r="J80" s="539"/>
      <c r="K80" s="539"/>
      <c r="L80" s="539"/>
      <c r="M80" s="539"/>
      <c r="N80" s="539"/>
      <c r="O80" s="540"/>
      <c r="Q80" s="40"/>
      <c r="R80" s="61"/>
      <c r="T80" s="384"/>
      <c r="U80" s="381"/>
      <c r="V80" s="381"/>
      <c r="W80" s="381"/>
      <c r="X80" s="1"/>
      <c r="Y80" s="18"/>
      <c r="Z80" s="23"/>
      <c r="AA80" s="21"/>
      <c r="AB80" s="37"/>
      <c r="AC80" s="381"/>
      <c r="AD80" s="1"/>
      <c r="AE80" s="28"/>
    </row>
    <row r="81" spans="2:31" ht="15" customHeight="1">
      <c r="B81" s="5"/>
      <c r="C81" s="5"/>
      <c r="D81" s="541"/>
      <c r="E81" s="542"/>
      <c r="F81" s="542"/>
      <c r="G81" s="542"/>
      <c r="H81" s="542"/>
      <c r="I81" s="542"/>
      <c r="J81" s="542"/>
      <c r="K81" s="542"/>
      <c r="L81" s="542"/>
      <c r="M81" s="542"/>
      <c r="N81" s="542"/>
      <c r="O81" s="543"/>
      <c r="Q81" s="40"/>
      <c r="R81" s="61"/>
      <c r="T81" s="14"/>
      <c r="U81" s="1"/>
      <c r="V81" s="1"/>
      <c r="W81" s="1"/>
      <c r="X81" s="1"/>
      <c r="Y81" s="1"/>
      <c r="Z81" s="1"/>
      <c r="AA81" s="1"/>
      <c r="AB81" s="1"/>
      <c r="AC81" s="1"/>
      <c r="AD81" s="1"/>
      <c r="AE81" s="13"/>
    </row>
    <row r="82" spans="2:31" ht="15" customHeight="1">
      <c r="B82" s="5"/>
      <c r="C82" s="5"/>
      <c r="D82" s="541"/>
      <c r="E82" s="542"/>
      <c r="F82" s="542"/>
      <c r="G82" s="542"/>
      <c r="H82" s="542"/>
      <c r="I82" s="542"/>
      <c r="J82" s="542"/>
      <c r="K82" s="542"/>
      <c r="L82" s="542"/>
      <c r="M82" s="542"/>
      <c r="N82" s="542"/>
      <c r="O82" s="543"/>
      <c r="R82" s="40"/>
      <c r="T82" s="14"/>
      <c r="U82" s="506" t="s">
        <v>72</v>
      </c>
      <c r="V82" s="506"/>
      <c r="W82" s="506"/>
      <c r="X82" s="506"/>
      <c r="Y82" s="506"/>
      <c r="Z82" s="386"/>
      <c r="AA82" s="14"/>
      <c r="AB82" s="381" t="str">
        <f>IF('Mon Entreprise'!K8&lt;=Annexes!Q24,"Oui","Non")</f>
        <v>Oui</v>
      </c>
      <c r="AC82" s="1"/>
      <c r="AD82" s="1"/>
      <c r="AE82" s="13"/>
    </row>
    <row r="83" spans="2:31" ht="15" customHeight="1" thickBot="1">
      <c r="C83" s="5"/>
      <c r="D83" s="544"/>
      <c r="E83" s="545"/>
      <c r="F83" s="545"/>
      <c r="G83" s="545"/>
      <c r="H83" s="545"/>
      <c r="I83" s="545"/>
      <c r="J83" s="545"/>
      <c r="K83" s="545"/>
      <c r="L83" s="545"/>
      <c r="M83" s="545"/>
      <c r="N83" s="545"/>
      <c r="O83" s="546"/>
      <c r="T83" s="14"/>
      <c r="U83" s="490" t="s">
        <v>78</v>
      </c>
      <c r="V83" s="490"/>
      <c r="W83" s="490"/>
      <c r="X83" s="490"/>
      <c r="Y83" s="490"/>
      <c r="Z83" s="381"/>
      <c r="AA83" s="14"/>
      <c r="AB83" s="381">
        <f>IF(Annexes!M9=FALSE,0,IF(Annexes!M6=1,0,Annexes!M6-1))</f>
        <v>0</v>
      </c>
      <c r="AC83" s="1"/>
      <c r="AD83" s="1"/>
      <c r="AE83" s="13"/>
    </row>
    <row r="84" spans="2:31" ht="15.75" customHeight="1">
      <c r="B84" s="5"/>
      <c r="C84" s="5"/>
      <c r="D84" s="5"/>
      <c r="T84" s="14"/>
      <c r="U84" s="490" t="s">
        <v>79</v>
      </c>
      <c r="V84" s="490"/>
      <c r="W84" s="490"/>
      <c r="X84" s="490"/>
      <c r="Y84" s="490"/>
      <c r="Z84" s="381"/>
      <c r="AA84" s="14"/>
      <c r="AB84" s="381" t="str">
        <f>IF(Annexes!M9=FALSE,"Non",IF(Annexes!M6=1,"Non","Oui"))</f>
        <v>Non</v>
      </c>
      <c r="AC84" s="1"/>
      <c r="AD84" s="1"/>
      <c r="AE84" s="13"/>
    </row>
    <row r="85" spans="2:31" ht="15" customHeight="1">
      <c r="T85" s="14"/>
      <c r="U85" s="490" t="s">
        <v>80</v>
      </c>
      <c r="V85" s="490"/>
      <c r="W85" s="490"/>
      <c r="X85" s="490"/>
      <c r="Y85" s="490"/>
      <c r="Z85" s="130"/>
      <c r="AA85" s="14"/>
      <c r="AB85" s="37">
        <f>IF('Mon Entreprise'!K8&gt;=Annexes!O20,IF(AB77&gt;=AB79,AB77,AB79),IF(AB77&gt;=AB78,AB77,AB78))</f>
        <v>0</v>
      </c>
      <c r="AC85" s="1"/>
      <c r="AD85" s="1"/>
      <c r="AE85" s="13"/>
    </row>
    <row r="86" spans="2:31" ht="15.75" customHeight="1">
      <c r="B86" s="5"/>
      <c r="C86" s="5"/>
      <c r="D86" s="5"/>
      <c r="T86" s="14"/>
      <c r="U86" s="381"/>
      <c r="V86" s="381"/>
      <c r="W86" s="381"/>
      <c r="X86" s="381"/>
      <c r="Y86" s="381"/>
      <c r="Z86" s="130"/>
      <c r="AA86" s="1"/>
      <c r="AB86" s="37"/>
      <c r="AC86" s="1"/>
      <c r="AD86" s="1"/>
      <c r="AE86" s="13"/>
    </row>
    <row r="87" spans="2:31" ht="15" customHeight="1" thickBot="1">
      <c r="B87" s="220"/>
      <c r="C87" s="488" t="s">
        <v>30</v>
      </c>
      <c r="D87" s="488"/>
      <c r="E87" s="488"/>
      <c r="F87" s="488"/>
      <c r="G87" s="488"/>
      <c r="H87" s="488"/>
      <c r="I87" s="221"/>
      <c r="J87" s="221"/>
      <c r="K87" s="221"/>
      <c r="L87" s="221"/>
      <c r="M87" s="221"/>
      <c r="N87" s="221"/>
      <c r="O87" s="221"/>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c r="B89" s="103"/>
      <c r="C89" s="489" t="s">
        <v>96</v>
      </c>
      <c r="D89" s="489"/>
      <c r="E89" s="489"/>
      <c r="F89" s="489"/>
      <c r="G89" s="489"/>
      <c r="H89" s="489"/>
      <c r="I89" s="489"/>
      <c r="J89" s="489"/>
      <c r="K89" s="489"/>
      <c r="L89" s="489"/>
      <c r="M89" s="489"/>
      <c r="N89" s="489"/>
      <c r="O89" s="489"/>
      <c r="P89" s="1"/>
      <c r="Q89" s="1"/>
      <c r="T89" s="14"/>
      <c r="U89" s="1"/>
      <c r="V89" s="1"/>
      <c r="W89" s="1"/>
      <c r="X89" s="1"/>
      <c r="Y89" s="1"/>
      <c r="Z89" s="1"/>
      <c r="AA89" s="1"/>
      <c r="AB89" s="1"/>
      <c r="AC89" s="1"/>
      <c r="AD89" s="1"/>
      <c r="AE89" s="13"/>
    </row>
    <row r="90" spans="2:31" ht="15.75">
      <c r="B90" s="103"/>
      <c r="C90" s="387"/>
      <c r="D90" s="60" t="s">
        <v>26</v>
      </c>
      <c r="E90" s="387"/>
      <c r="F90" s="387"/>
      <c r="G90" s="387"/>
      <c r="H90" s="387"/>
      <c r="I90" s="387"/>
      <c r="J90" s="387"/>
      <c r="K90" s="387"/>
      <c r="L90" s="387"/>
      <c r="M90" s="387"/>
      <c r="N90" s="387"/>
      <c r="O90" s="387"/>
      <c r="P90" s="1"/>
      <c r="Q90" s="1"/>
      <c r="T90" s="14"/>
      <c r="U90" s="1"/>
      <c r="V90" s="1"/>
      <c r="W90" s="1"/>
      <c r="X90" s="1"/>
      <c r="Y90" s="1"/>
      <c r="Z90" s="1"/>
      <c r="AA90" s="1"/>
      <c r="AB90" s="1"/>
      <c r="AC90" s="1"/>
      <c r="AD90" s="1"/>
      <c r="AE90" s="13"/>
    </row>
    <row r="91" spans="2:31" ht="16.5" hidden="1"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hidden="1">
      <c r="B92" s="24"/>
      <c r="C92" s="24"/>
      <c r="D92" s="492"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93"/>
      <c r="F92" s="493"/>
      <c r="G92" s="493"/>
      <c r="H92" s="493"/>
      <c r="I92" s="493"/>
      <c r="J92" s="493"/>
      <c r="K92" s="493"/>
      <c r="L92" s="493"/>
      <c r="M92" s="493"/>
      <c r="N92" s="493"/>
      <c r="O92" s="494"/>
      <c r="P92" s="1"/>
      <c r="Q92" s="1"/>
      <c r="R92" s="1"/>
      <c r="S92" s="1"/>
      <c r="T92" s="25"/>
      <c r="U92" s="490" t="s">
        <v>20</v>
      </c>
      <c r="V92" s="490"/>
      <c r="W92" s="490"/>
      <c r="X92" s="1"/>
      <c r="Y92" s="390" t="s">
        <v>6</v>
      </c>
      <c r="Z92" s="390"/>
      <c r="AA92" s="390"/>
      <c r="AB92" s="390" t="s">
        <v>23</v>
      </c>
      <c r="AC92" s="390"/>
      <c r="AD92" s="390"/>
      <c r="AE92" s="26" t="s">
        <v>24</v>
      </c>
    </row>
    <row r="93" spans="2:31" ht="15.75" hidden="1">
      <c r="B93" s="24"/>
      <c r="C93" s="24"/>
      <c r="D93" s="495"/>
      <c r="E93" s="496"/>
      <c r="F93" s="496"/>
      <c r="G93" s="496"/>
      <c r="H93" s="496"/>
      <c r="I93" s="496"/>
      <c r="J93" s="496"/>
      <c r="K93" s="496"/>
      <c r="L93" s="496"/>
      <c r="M93" s="496"/>
      <c r="N93" s="496"/>
      <c r="O93" s="497"/>
      <c r="P93" s="1"/>
      <c r="Q93" s="1"/>
      <c r="R93" s="1"/>
      <c r="S93" s="1"/>
      <c r="T93" s="25"/>
      <c r="U93" s="390"/>
      <c r="V93" s="390"/>
      <c r="W93" s="390"/>
      <c r="X93" s="1"/>
      <c r="Y93" s="390"/>
      <c r="Z93" s="390"/>
      <c r="AA93" s="390"/>
      <c r="AB93" s="390"/>
      <c r="AC93" s="390"/>
      <c r="AD93" s="390"/>
      <c r="AE93" s="26"/>
    </row>
    <row r="94" spans="2:31" ht="15.75" hidden="1" customHeight="1">
      <c r="B94" s="24"/>
      <c r="C94" s="24"/>
      <c r="D94" s="495"/>
      <c r="E94" s="496"/>
      <c r="F94" s="496"/>
      <c r="G94" s="496"/>
      <c r="H94" s="496"/>
      <c r="I94" s="496"/>
      <c r="J94" s="496"/>
      <c r="K94" s="496"/>
      <c r="L94" s="496"/>
      <c r="M94" s="496"/>
      <c r="N94" s="496"/>
      <c r="O94" s="497"/>
      <c r="P94" s="1"/>
      <c r="Q94" s="1"/>
      <c r="R94" s="1"/>
      <c r="S94" s="1"/>
      <c r="T94" s="491" t="s">
        <v>98</v>
      </c>
      <c r="U94" s="490"/>
      <c r="V94" s="490"/>
      <c r="W94" s="490"/>
      <c r="X94" s="1"/>
      <c r="Y94" s="7">
        <f>'Mon Entreprise'!I114</f>
        <v>0</v>
      </c>
      <c r="Z94" s="133"/>
      <c r="AA94" s="21"/>
      <c r="AB94" s="7">
        <f>IF('Mon Entreprise'!I114-'Mon Entreprise'!M114&lt;0,0,'Mon Entreprise'!I114-'Mon Entreprise'!M114)</f>
        <v>0</v>
      </c>
      <c r="AC94" s="13"/>
      <c r="AD94" s="1"/>
      <c r="AE94" s="27">
        <f>IFERROR(1-'Mon Entreprise'!M114/'Mon Entreprise'!I114,0)</f>
        <v>0</v>
      </c>
    </row>
    <row r="95" spans="2:31" ht="15.75" hidden="1">
      <c r="B95" s="24"/>
      <c r="C95" s="24"/>
      <c r="D95" s="495"/>
      <c r="E95" s="496"/>
      <c r="F95" s="496"/>
      <c r="G95" s="496"/>
      <c r="H95" s="496"/>
      <c r="I95" s="496"/>
      <c r="J95" s="496"/>
      <c r="K95" s="496"/>
      <c r="L95" s="496"/>
      <c r="M95" s="496"/>
      <c r="N95" s="496"/>
      <c r="O95" s="497"/>
      <c r="P95" s="1"/>
      <c r="Q95" s="109"/>
      <c r="R95" s="1"/>
      <c r="S95" s="1"/>
      <c r="T95" s="491" t="s">
        <v>25</v>
      </c>
      <c r="U95" s="490"/>
      <c r="V95" s="490"/>
      <c r="W95" s="490"/>
      <c r="X95" s="1"/>
      <c r="Y95" s="7">
        <f>'Mon Entreprise'!I98</f>
        <v>0</v>
      </c>
      <c r="Z95" s="133"/>
      <c r="AA95" s="21"/>
      <c r="AB95" s="7">
        <f>IF('Mon Entreprise'!I98-'Mon Entreprise'!M114&lt;0,0,'Mon Entreprise'!I98-'Mon Entreprise'!M114)</f>
        <v>0</v>
      </c>
      <c r="AC95" s="36"/>
      <c r="AD95" s="1"/>
      <c r="AE95" s="27">
        <f>IFERROR(1-'Mon Entreprise'!M114/'Mon Entreprise'!I98,0)</f>
        <v>0</v>
      </c>
    </row>
    <row r="96" spans="2:31" ht="16.5" hidden="1" thickBot="1">
      <c r="B96" s="24"/>
      <c r="C96" s="24"/>
      <c r="D96" s="498"/>
      <c r="E96" s="499"/>
      <c r="F96" s="499"/>
      <c r="G96" s="499"/>
      <c r="H96" s="499"/>
      <c r="I96" s="499"/>
      <c r="J96" s="499"/>
      <c r="K96" s="499"/>
      <c r="L96" s="499"/>
      <c r="M96" s="499"/>
      <c r="N96" s="499"/>
      <c r="O96" s="500"/>
      <c r="P96" s="1"/>
      <c r="Q96" s="1"/>
      <c r="R96" s="109"/>
      <c r="S96" s="109"/>
      <c r="T96" s="491" t="s">
        <v>22</v>
      </c>
      <c r="U96" s="490"/>
      <c r="V96" s="490"/>
      <c r="W96" s="490"/>
      <c r="X96" s="1"/>
      <c r="Y96" s="18" t="str">
        <f>IF('Mon Entreprise'!I176="","NC",'Mon Entreprise'!I176)</f>
        <v>NC</v>
      </c>
      <c r="Z96" s="134"/>
      <c r="AA96" s="21"/>
      <c r="AB96" s="37" t="str">
        <f>IFERROR(IF('Mon Entreprise'!I176-'Mon Entreprise'!M114&lt;0,0,'Mon Entreprise'!I176-'Mon Entreprise'!M114),"NC")</f>
        <v>NC</v>
      </c>
      <c r="AC96" s="135"/>
      <c r="AD96" s="1"/>
      <c r="AE96" s="28" t="str">
        <f>IFERROR(1-'Mon Entreprise'!M114/'Mon Entreprise'!I176,"NC")</f>
        <v>NC</v>
      </c>
    </row>
    <row r="97" spans="2:32">
      <c r="B97" s="8"/>
      <c r="C97" s="79"/>
      <c r="D97" s="79"/>
      <c r="E97" s="78"/>
      <c r="F97" s="78"/>
      <c r="G97" s="78"/>
      <c r="H97" s="78"/>
      <c r="I97" s="78"/>
      <c r="J97" s="78"/>
      <c r="K97" s="78"/>
      <c r="L97" s="78"/>
      <c r="M97" s="78"/>
      <c r="N97" s="78"/>
      <c r="O97" s="78"/>
      <c r="Q97" s="1"/>
      <c r="R97" s="1"/>
      <c r="S97" s="1"/>
      <c r="T97" s="384"/>
      <c r="U97" s="381"/>
      <c r="V97" s="381"/>
      <c r="W97" s="381"/>
      <c r="X97" s="1"/>
      <c r="Y97" s="18"/>
      <c r="Z97" s="23"/>
      <c r="AA97" s="21"/>
      <c r="AB97" s="37"/>
      <c r="AC97" s="381"/>
      <c r="AD97" s="1"/>
      <c r="AE97" s="28"/>
      <c r="AF97" s="99"/>
    </row>
    <row r="98" spans="2:32">
      <c r="Q98" s="1"/>
      <c r="R98" s="1"/>
      <c r="S98" s="1"/>
      <c r="T98" s="14"/>
      <c r="U98" s="1"/>
      <c r="V98" s="1"/>
      <c r="W98" s="1"/>
      <c r="X98" s="1"/>
      <c r="Y98" s="1"/>
      <c r="Z98" s="1"/>
      <c r="AA98" s="1"/>
      <c r="AB98" s="1"/>
      <c r="AC98" s="1"/>
      <c r="AD98" s="1"/>
      <c r="AE98" s="13"/>
    </row>
    <row r="99" spans="2:32">
      <c r="C99" s="60" t="s">
        <v>62</v>
      </c>
      <c r="D99" s="60"/>
      <c r="E99" s="60"/>
      <c r="F99" s="60"/>
      <c r="G99" s="60"/>
      <c r="H99" s="60"/>
      <c r="I99" s="60"/>
      <c r="J99" s="40"/>
      <c r="K99" s="40"/>
      <c r="L99" s="40"/>
      <c r="M99" s="40"/>
      <c r="N99" s="40"/>
      <c r="O99" s="40"/>
      <c r="R99" s="1"/>
      <c r="S99" s="1"/>
      <c r="T99" s="14"/>
      <c r="U99" s="506" t="s">
        <v>72</v>
      </c>
      <c r="V99" s="506"/>
      <c r="W99" s="506"/>
      <c r="X99" s="506"/>
      <c r="Y99" s="506"/>
      <c r="Z99" s="1"/>
      <c r="AA99" s="14"/>
      <c r="AB99" s="381" t="str">
        <f>IF('Mon Entreprise'!K8&lt;=Annexes!Q24,"Oui","Non")</f>
        <v>Oui</v>
      </c>
      <c r="AC99" s="1"/>
      <c r="AD99" s="1"/>
      <c r="AE99" s="13"/>
    </row>
    <row r="100" spans="2:32">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506" t="s">
        <v>84</v>
      </c>
      <c r="V100" s="506"/>
      <c r="W100" s="506"/>
      <c r="X100" s="506"/>
      <c r="Y100" s="506"/>
      <c r="Z100" s="1"/>
      <c r="AA100" s="14"/>
      <c r="AB100" s="381">
        <f>IF('Mon Entreprise'!K8&gt;=Annexes!O20,IF(AB94&gt;=AB96,AB94,AB96),IF(AB94&gt;=AB95,AB94,AB95))</f>
        <v>0</v>
      </c>
      <c r="AC100" s="1"/>
      <c r="AD100" s="1"/>
      <c r="AE100" s="13"/>
    </row>
    <row r="101" spans="2:32" ht="15" customHeight="1" thickBot="1">
      <c r="T101" s="14"/>
      <c r="U101" s="506" t="s">
        <v>85</v>
      </c>
      <c r="V101" s="506"/>
      <c r="W101" s="506"/>
      <c r="X101" s="506"/>
      <c r="Y101" s="506"/>
      <c r="Z101" s="1"/>
      <c r="AA101" s="14"/>
      <c r="AB101" s="19">
        <f>IF('Mon Entreprise'!K8&gt;=Annexes!O20,IF(AB94&gt;=AB96,AE94,AE96),IF(AB94&gt;=AB95,AE94,AE95))</f>
        <v>0</v>
      </c>
      <c r="AC101" s="1"/>
      <c r="AD101" s="1"/>
      <c r="AE101" s="13"/>
    </row>
    <row r="102" spans="2:32" ht="15" customHeight="1">
      <c r="D102" s="508"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509"/>
      <c r="F102" s="509"/>
      <c r="G102" s="509"/>
      <c r="H102" s="509"/>
      <c r="I102" s="509"/>
      <c r="J102" s="509"/>
      <c r="K102" s="509"/>
      <c r="L102" s="509"/>
      <c r="M102" s="509"/>
      <c r="N102" s="509"/>
      <c r="O102" s="510"/>
      <c r="T102" s="14"/>
      <c r="U102" s="386"/>
      <c r="V102" s="386"/>
      <c r="W102" s="386"/>
      <c r="X102" s="386"/>
      <c r="Y102" s="386"/>
      <c r="Z102" s="1"/>
      <c r="AA102" s="1"/>
      <c r="AB102" s="19"/>
      <c r="AC102" s="1"/>
      <c r="AD102" s="1"/>
      <c r="AE102" s="13"/>
    </row>
    <row r="103" spans="2:32" ht="15" customHeight="1">
      <c r="D103" s="511"/>
      <c r="E103" s="512"/>
      <c r="F103" s="512"/>
      <c r="G103" s="512"/>
      <c r="H103" s="512"/>
      <c r="I103" s="512"/>
      <c r="J103" s="512"/>
      <c r="K103" s="512"/>
      <c r="L103" s="512"/>
      <c r="M103" s="512"/>
      <c r="N103" s="512"/>
      <c r="O103" s="513"/>
      <c r="T103" s="14"/>
      <c r="U103" s="386"/>
      <c r="V103" s="386"/>
      <c r="W103" s="386"/>
      <c r="X103" s="386"/>
      <c r="Y103" s="386"/>
      <c r="Z103" s="1"/>
      <c r="AA103" s="1"/>
      <c r="AB103" s="19"/>
      <c r="AC103" s="1"/>
      <c r="AD103" s="1"/>
      <c r="AE103" s="13"/>
    </row>
    <row r="104" spans="2:32" ht="15" customHeight="1">
      <c r="D104" s="511"/>
      <c r="E104" s="512"/>
      <c r="F104" s="512"/>
      <c r="G104" s="512"/>
      <c r="H104" s="512"/>
      <c r="I104" s="512"/>
      <c r="J104" s="512"/>
      <c r="K104" s="512"/>
      <c r="L104" s="512"/>
      <c r="M104" s="512"/>
      <c r="N104" s="512"/>
      <c r="O104" s="513"/>
      <c r="T104" s="14"/>
      <c r="U104" s="490"/>
      <c r="V104" s="490"/>
      <c r="W104" s="490"/>
      <c r="X104" s="490"/>
      <c r="Y104" s="490"/>
      <c r="Z104" s="1"/>
      <c r="AA104" s="1"/>
      <c r="AB104" s="381"/>
      <c r="AC104" s="1"/>
      <c r="AD104" s="1"/>
      <c r="AE104" s="13"/>
    </row>
    <row r="105" spans="2:32" ht="15" customHeight="1" thickBot="1">
      <c r="D105" s="514"/>
      <c r="E105" s="515"/>
      <c r="F105" s="515"/>
      <c r="G105" s="515"/>
      <c r="H105" s="515"/>
      <c r="I105" s="515"/>
      <c r="J105" s="515"/>
      <c r="K105" s="515"/>
      <c r="L105" s="515"/>
      <c r="M105" s="515"/>
      <c r="N105" s="515"/>
      <c r="O105" s="516"/>
      <c r="T105" s="14"/>
      <c r="U105" s="1"/>
      <c r="V105" s="1"/>
      <c r="W105" s="1"/>
      <c r="X105" s="1"/>
      <c r="Y105" s="1"/>
      <c r="Z105" s="1"/>
      <c r="AA105" s="1"/>
      <c r="AB105" s="381"/>
      <c r="AC105" s="1"/>
      <c r="AD105" s="1"/>
      <c r="AE105" s="13"/>
    </row>
    <row r="106" spans="2:32" ht="15" customHeight="1">
      <c r="C106" s="78"/>
      <c r="D106" s="78"/>
      <c r="E106" s="78"/>
      <c r="F106" s="78"/>
      <c r="G106" s="78"/>
      <c r="H106" s="78"/>
      <c r="I106" s="78"/>
      <c r="J106" s="78"/>
      <c r="K106" s="78"/>
      <c r="L106" s="78"/>
      <c r="M106" s="78"/>
      <c r="N106" s="78"/>
      <c r="O106" s="78"/>
      <c r="T106" s="536" t="s">
        <v>4</v>
      </c>
      <c r="U106" s="521"/>
      <c r="V106" s="521"/>
      <c r="W106" s="521"/>
      <c r="X106" s="521"/>
      <c r="Y106" s="521"/>
      <c r="Z106" s="1"/>
      <c r="AA106" s="14"/>
      <c r="AB106" s="132">
        <f>IFERROR(IF('Mon Entreprise'!K8&lt;Annexes!O17,IF(IFERROR(1-'Mon Entreprise'!M118/'Mon Entreprise'!I118,0)&gt;=IFERROR(1-'Mon Entreprise'!M118/('Mon Entreprise'!I98*2),0),1-'Mon Entreprise'!M118/'Mon Entreprise'!I118,1-'Mon Entreprise'!M118/('Mon Entreprise'!I98*2)),1-'Mon Entreprise'!M118/'Mon Entreprise'!I190),0)</f>
        <v>0</v>
      </c>
      <c r="AC106" s="1"/>
      <c r="AD106" s="1"/>
      <c r="AE106" s="13"/>
    </row>
    <row r="107" spans="2:32" ht="15.75" customHeight="1">
      <c r="T107" s="14"/>
      <c r="U107" s="521" t="s">
        <v>8</v>
      </c>
      <c r="V107" s="521"/>
      <c r="W107" s="521"/>
      <c r="X107" s="521"/>
      <c r="Y107" s="521"/>
      <c r="Z107" s="1"/>
      <c r="AA107" s="14"/>
      <c r="AB107" s="19" t="str">
        <f>IF((AND(Annexes!F5&gt;1,Annexes!F5&lt;=Annexes!H6)),"OUI","NON")</f>
        <v>NON</v>
      </c>
      <c r="AC107" s="1"/>
      <c r="AD107" s="1"/>
      <c r="AE107" s="13"/>
    </row>
    <row r="108" spans="2:32" ht="15" customHeight="1">
      <c r="C108" s="547" t="s">
        <v>101</v>
      </c>
      <c r="D108" s="547"/>
      <c r="E108" s="547"/>
      <c r="F108" s="547"/>
      <c r="G108" s="547"/>
      <c r="H108" s="547"/>
      <c r="I108" s="547"/>
      <c r="J108" s="547"/>
      <c r="K108" s="547"/>
      <c r="L108" s="547"/>
      <c r="M108" s="547"/>
      <c r="N108" s="547"/>
      <c r="O108" s="547"/>
      <c r="P108" s="40"/>
      <c r="T108" s="14"/>
      <c r="U108" s="490" t="s">
        <v>9</v>
      </c>
      <c r="V108" s="490"/>
      <c r="W108" s="490"/>
      <c r="X108" s="490"/>
      <c r="Y108" s="490"/>
      <c r="Z108" s="1"/>
      <c r="AA108" s="14"/>
      <c r="AB108" s="19" t="str">
        <f>IF((AND(Annexes!F7&gt;1,Annexes!F7&lt;=Annexes!H8)),"OUI","NON")</f>
        <v>NON</v>
      </c>
      <c r="AC108" s="1"/>
      <c r="AD108" s="1"/>
      <c r="AE108" s="13"/>
    </row>
    <row r="109" spans="2:32" ht="15" customHeight="1">
      <c r="C109" s="547"/>
      <c r="D109" s="547"/>
      <c r="E109" s="547"/>
      <c r="F109" s="547"/>
      <c r="G109" s="547"/>
      <c r="H109" s="547"/>
      <c r="I109" s="547"/>
      <c r="J109" s="547"/>
      <c r="K109" s="547"/>
      <c r="L109" s="547"/>
      <c r="M109" s="547"/>
      <c r="N109" s="547"/>
      <c r="O109" s="547"/>
      <c r="P109" s="40"/>
      <c r="Q109" s="40"/>
      <c r="T109" s="14"/>
      <c r="U109" s="490" t="s">
        <v>12</v>
      </c>
      <c r="V109" s="490"/>
      <c r="W109" s="490"/>
      <c r="X109" s="490"/>
      <c r="Y109" s="490"/>
      <c r="Z109" s="1"/>
      <c r="AA109" s="14"/>
      <c r="AB109" s="19" t="b">
        <f>Annexes!M11</f>
        <v>0</v>
      </c>
      <c r="AC109" s="1"/>
      <c r="AD109" s="1"/>
      <c r="AE109" s="13"/>
    </row>
    <row r="110" spans="2:32" ht="15.75" customHeight="1">
      <c r="C110" s="60"/>
      <c r="E110" s="547"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547"/>
      <c r="G110" s="547"/>
      <c r="H110" s="547"/>
      <c r="I110" s="547"/>
      <c r="J110" s="547"/>
      <c r="K110" s="547"/>
      <c r="L110" s="547"/>
      <c r="M110" s="547"/>
      <c r="N110" s="547"/>
      <c r="O110" s="547"/>
      <c r="P110" s="40"/>
      <c r="Q110" s="40"/>
      <c r="T110" s="14"/>
      <c r="U110" s="506" t="s">
        <v>72</v>
      </c>
      <c r="V110" s="506"/>
      <c r="W110" s="506"/>
      <c r="X110" s="506"/>
      <c r="Y110" s="506"/>
      <c r="Z110" s="1"/>
      <c r="AA110" s="14"/>
      <c r="AB110" s="381" t="str">
        <f>IF('Mon Entreprise'!K8&lt;=Annexes!Q24,"Oui","Non")</f>
        <v>Oui</v>
      </c>
      <c r="AC110" s="1"/>
      <c r="AD110" s="1"/>
      <c r="AE110" s="13"/>
    </row>
    <row r="111" spans="2:32" ht="15" customHeight="1">
      <c r="C111" s="60"/>
      <c r="D111" s="131"/>
      <c r="E111" s="547"/>
      <c r="F111" s="547"/>
      <c r="G111" s="547"/>
      <c r="H111" s="547"/>
      <c r="I111" s="547"/>
      <c r="J111" s="547"/>
      <c r="K111" s="547"/>
      <c r="L111" s="547"/>
      <c r="M111" s="547"/>
      <c r="N111" s="547"/>
      <c r="O111" s="547"/>
      <c r="P111" s="40"/>
      <c r="Q111" s="40"/>
      <c r="T111" s="14"/>
      <c r="U111" s="506" t="s">
        <v>84</v>
      </c>
      <c r="V111" s="506"/>
      <c r="W111" s="506"/>
      <c r="X111" s="506"/>
      <c r="Y111" s="506"/>
      <c r="Z111" s="1"/>
      <c r="AA111" s="14"/>
      <c r="AB111" s="381">
        <f>IF('Mon Entreprise'!K8&gt;=Annexes!O20,IF(AB94&gt;=AB96,AB94,AB96),IF(AB94&gt;=AB95,AB94,AB95))</f>
        <v>0</v>
      </c>
      <c r="AC111" s="1"/>
      <c r="AD111" s="1"/>
      <c r="AE111" s="13"/>
    </row>
    <row r="112" spans="2:32" ht="15"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506" t="s">
        <v>85</v>
      </c>
      <c r="V112" s="506"/>
      <c r="W112" s="506"/>
      <c r="X112" s="506"/>
      <c r="Y112" s="506"/>
      <c r="Z112" s="1"/>
      <c r="AA112" s="14"/>
      <c r="AB112" s="19">
        <f>IF('Mon Entreprise'!K8&gt;=Annexes!O20,IF(AB94&gt;=AB96,AE94,AE96),IF(AB94&gt;=AB95,AE94,AE95))</f>
        <v>0</v>
      </c>
      <c r="AC112" s="1"/>
      <c r="AD112" s="1"/>
      <c r="AE112" s="13"/>
    </row>
    <row r="113" spans="2:31" ht="15"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90" t="s">
        <v>74</v>
      </c>
      <c r="V113" s="490"/>
      <c r="W113" s="490"/>
      <c r="X113" s="490"/>
      <c r="Y113" s="490"/>
      <c r="Z113" s="1"/>
      <c r="AA113" s="14"/>
      <c r="AB113" s="55">
        <f>IF(OR(AB107="OUI",AB109=TRUE),1,IF(AND(AB108="OUI",AB106&gt;=0.8),0.8,1))</f>
        <v>1</v>
      </c>
      <c r="AC113" s="1"/>
      <c r="AD113" s="1"/>
      <c r="AE113" s="13"/>
    </row>
    <row r="114" spans="2:31" ht="15" customHeight="1" thickBot="1">
      <c r="Q114" s="40"/>
      <c r="R114" s="40"/>
      <c r="T114" s="14"/>
      <c r="U114" s="490" t="s">
        <v>80</v>
      </c>
      <c r="V114" s="490"/>
      <c r="W114" s="490"/>
      <c r="X114" s="490"/>
      <c r="Y114" s="490"/>
      <c r="Z114" s="1"/>
      <c r="AA114" s="14"/>
      <c r="AB114" s="385">
        <f>IF('Mon Entreprise'!K8&gt;=Annexes!O20,IF(AB94&gt;=AB96,Y94,Y96),IF(AB94&gt;=AB95,Y94,Y95))</f>
        <v>0</v>
      </c>
      <c r="AC114" s="1"/>
      <c r="AD114" s="1"/>
      <c r="AE114" s="13"/>
    </row>
    <row r="115" spans="2:31" ht="15" customHeight="1">
      <c r="D115" s="508"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509"/>
      <c r="F115" s="509"/>
      <c r="G115" s="509"/>
      <c r="H115" s="509"/>
      <c r="I115" s="509"/>
      <c r="J115" s="509"/>
      <c r="K115" s="509"/>
      <c r="L115" s="509"/>
      <c r="M115" s="509"/>
      <c r="N115" s="509"/>
      <c r="O115" s="510"/>
      <c r="Q115" s="40"/>
      <c r="R115" s="40"/>
      <c r="T115" s="14"/>
      <c r="U115" s="490" t="s">
        <v>104</v>
      </c>
      <c r="V115" s="490"/>
      <c r="W115" s="490"/>
      <c r="X115" s="490"/>
      <c r="Y115" s="490"/>
      <c r="Z115" s="1"/>
      <c r="AA115" s="14"/>
      <c r="AB115" s="381">
        <f>IF(AB113=1,AB111,IF(AB111*AB113&gt;1500,IF(AB111&gt;1500,AB111*AB113,"Impossible"),IF(AB111&lt;1500,AB111,1500)))</f>
        <v>0</v>
      </c>
      <c r="AC115" s="1"/>
      <c r="AD115" s="1"/>
      <c r="AE115" s="13"/>
    </row>
    <row r="116" spans="2:31" ht="15" customHeight="1">
      <c r="D116" s="511"/>
      <c r="E116" s="512"/>
      <c r="F116" s="512"/>
      <c r="G116" s="512"/>
      <c r="H116" s="512"/>
      <c r="I116" s="512"/>
      <c r="J116" s="512"/>
      <c r="K116" s="512"/>
      <c r="L116" s="512"/>
      <c r="M116" s="512"/>
      <c r="N116" s="512"/>
      <c r="O116" s="513"/>
      <c r="Q116" s="40"/>
      <c r="R116" s="40"/>
      <c r="T116" s="14"/>
      <c r="U116" s="381"/>
      <c r="V116" s="381"/>
      <c r="W116" s="381"/>
      <c r="X116" s="381"/>
      <c r="Y116" s="381"/>
      <c r="Z116" s="1"/>
      <c r="AA116" s="1"/>
      <c r="AB116" s="381"/>
      <c r="AC116" s="1"/>
      <c r="AD116" s="1"/>
      <c r="AE116" s="13"/>
    </row>
    <row r="117" spans="2:31" ht="15" customHeight="1">
      <c r="D117" s="511"/>
      <c r="E117" s="512"/>
      <c r="F117" s="512"/>
      <c r="G117" s="512"/>
      <c r="H117" s="512"/>
      <c r="I117" s="512"/>
      <c r="J117" s="512"/>
      <c r="K117" s="512"/>
      <c r="L117" s="512"/>
      <c r="M117" s="512"/>
      <c r="N117" s="512"/>
      <c r="O117" s="513"/>
      <c r="Q117" s="40"/>
      <c r="R117" s="40"/>
      <c r="T117" s="14"/>
      <c r="U117" s="490" t="s">
        <v>82</v>
      </c>
      <c r="V117" s="490"/>
      <c r="W117" s="490"/>
      <c r="X117" s="490"/>
      <c r="Y117" s="490"/>
      <c r="Z117" s="1"/>
      <c r="AA117" s="14"/>
      <c r="AB117" s="381">
        <f>IF(AB99="Non",0,IF(AB101&gt;=0.5,IF(AB100&gt;Annexes!O5,Annexes!O5,ROUND(AB100,0)),0))</f>
        <v>0</v>
      </c>
      <c r="AC117" s="1"/>
      <c r="AD117" s="1"/>
      <c r="AE117" s="13"/>
    </row>
    <row r="118" spans="2:31" ht="15" customHeight="1" thickBot="1">
      <c r="D118" s="514"/>
      <c r="E118" s="515"/>
      <c r="F118" s="515"/>
      <c r="G118" s="515"/>
      <c r="H118" s="515"/>
      <c r="I118" s="515"/>
      <c r="J118" s="515"/>
      <c r="K118" s="515"/>
      <c r="L118" s="515"/>
      <c r="M118" s="515"/>
      <c r="N118" s="515"/>
      <c r="O118" s="516"/>
      <c r="R118" s="40"/>
      <c r="T118" s="14"/>
      <c r="U118" s="490" t="s">
        <v>81</v>
      </c>
      <c r="V118" s="490"/>
      <c r="W118" s="490"/>
      <c r="X118" s="490"/>
      <c r="Y118" s="490"/>
      <c r="Z118" s="1"/>
      <c r="AA118" s="14"/>
      <c r="AB118" s="381">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c r="D119" s="53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530"/>
      <c r="F119" s="530"/>
      <c r="G119" s="530"/>
      <c r="H119" s="530"/>
      <c r="I119" s="530"/>
      <c r="J119" s="530"/>
      <c r="K119" s="530"/>
      <c r="L119" s="530"/>
      <c r="M119" s="530"/>
      <c r="N119" s="530"/>
      <c r="O119" s="530"/>
      <c r="R119" s="40"/>
      <c r="T119" s="14"/>
      <c r="U119" s="381"/>
      <c r="V119" s="381"/>
      <c r="W119" s="381"/>
      <c r="X119" s="381"/>
      <c r="Y119" s="381"/>
      <c r="Z119" s="1"/>
      <c r="AA119" s="1"/>
      <c r="AB119" s="381"/>
      <c r="AC119" s="1"/>
      <c r="AD119" s="1"/>
      <c r="AE119" s="13"/>
    </row>
    <row r="120" spans="2:31" ht="15" customHeight="1">
      <c r="D120" s="531"/>
      <c r="E120" s="531"/>
      <c r="F120" s="531"/>
      <c r="G120" s="531"/>
      <c r="H120" s="531"/>
      <c r="I120" s="531"/>
      <c r="J120" s="531"/>
      <c r="K120" s="531"/>
      <c r="L120" s="531"/>
      <c r="M120" s="531"/>
      <c r="N120" s="531"/>
      <c r="O120" s="531"/>
      <c r="R120" s="40"/>
      <c r="T120" s="14"/>
      <c r="U120" s="381"/>
      <c r="V120" s="381"/>
      <c r="W120" s="381"/>
      <c r="X120" s="381"/>
      <c r="Y120" s="381"/>
      <c r="Z120" s="1"/>
      <c r="AA120" s="1"/>
      <c r="AB120" s="381"/>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0"/>
      <c r="C122" s="488" t="s">
        <v>95</v>
      </c>
      <c r="D122" s="488"/>
      <c r="E122" s="488"/>
      <c r="F122" s="488"/>
      <c r="G122" s="488"/>
      <c r="H122" s="488"/>
      <c r="I122" s="221"/>
      <c r="J122" s="221"/>
      <c r="K122" s="221"/>
      <c r="L122" s="221"/>
      <c r="M122" s="221"/>
      <c r="N122" s="221"/>
      <c r="O122" s="221"/>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c r="B124" s="103"/>
      <c r="C124" s="489" t="s">
        <v>115</v>
      </c>
      <c r="D124" s="489"/>
      <c r="E124" s="489"/>
      <c r="F124" s="489"/>
      <c r="G124" s="489"/>
      <c r="H124" s="489"/>
      <c r="I124" s="489"/>
      <c r="J124" s="489"/>
      <c r="K124" s="489"/>
      <c r="L124" s="489"/>
      <c r="M124" s="489"/>
      <c r="N124" s="489"/>
      <c r="O124" s="489"/>
      <c r="P124" s="1"/>
      <c r="T124" s="25"/>
      <c r="U124" s="490" t="s">
        <v>20</v>
      </c>
      <c r="V124" s="490"/>
      <c r="W124" s="490"/>
      <c r="X124" s="1"/>
      <c r="Y124" s="390" t="s">
        <v>6</v>
      </c>
      <c r="Z124" s="390"/>
      <c r="AA124" s="390"/>
      <c r="AB124" s="390" t="s">
        <v>23</v>
      </c>
      <c r="AC124" s="390"/>
      <c r="AD124" s="390"/>
      <c r="AE124" s="26" t="s">
        <v>24</v>
      </c>
    </row>
    <row r="125" spans="2:31" ht="15.75" customHeight="1">
      <c r="B125" s="103"/>
      <c r="C125" s="387"/>
      <c r="D125" s="60" t="s">
        <v>26</v>
      </c>
      <c r="E125" s="387"/>
      <c r="F125" s="387"/>
      <c r="G125" s="387"/>
      <c r="H125" s="387"/>
      <c r="I125" s="387"/>
      <c r="J125" s="387"/>
      <c r="K125" s="387"/>
      <c r="L125" s="387"/>
      <c r="M125" s="387"/>
      <c r="N125" s="387"/>
      <c r="O125" s="387"/>
      <c r="P125" s="1"/>
      <c r="T125" s="25"/>
      <c r="U125" s="390"/>
      <c r="V125" s="390"/>
      <c r="W125" s="390"/>
      <c r="X125" s="1"/>
      <c r="Y125" s="390"/>
      <c r="Z125" s="390"/>
      <c r="AA125" s="390"/>
      <c r="AB125" s="390"/>
      <c r="AC125" s="390"/>
      <c r="AD125" s="390"/>
      <c r="AE125" s="26"/>
    </row>
    <row r="126" spans="2:31" ht="15.75" hidden="1" customHeight="1" thickBot="1">
      <c r="B126" s="103"/>
      <c r="C126" s="387"/>
      <c r="D126" s="60"/>
      <c r="E126" s="387"/>
      <c r="F126" s="387"/>
      <c r="G126" s="387"/>
      <c r="H126" s="387"/>
      <c r="I126" s="387"/>
      <c r="J126" s="387"/>
      <c r="K126" s="387"/>
      <c r="L126" s="387"/>
      <c r="M126" s="387"/>
      <c r="N126" s="387"/>
      <c r="O126" s="387"/>
      <c r="P126" s="1"/>
      <c r="T126" s="491" t="s">
        <v>99</v>
      </c>
      <c r="U126" s="490"/>
      <c r="V126" s="490"/>
      <c r="W126" s="490"/>
      <c r="X126" s="1"/>
      <c r="Y126" s="7">
        <f>'Mon Entreprise'!I116</f>
        <v>0</v>
      </c>
      <c r="Z126" s="133"/>
      <c r="AA126" s="21"/>
      <c r="AB126" s="7">
        <f>IF('Mon Entreprise'!I116-'Mon Entreprise'!M116&lt;0,0,'Mon Entreprise'!I116-'Mon Entreprise'!M116)</f>
        <v>0</v>
      </c>
      <c r="AC126" s="13"/>
      <c r="AD126" s="1"/>
      <c r="AE126" s="27">
        <f>IFERROR(1-'Mon Entreprise'!M116/'Mon Entreprise'!I116,0)</f>
        <v>0</v>
      </c>
    </row>
    <row r="127" spans="2:31" ht="15.75" hidden="1" customHeight="1">
      <c r="B127" s="103"/>
      <c r="C127" s="387"/>
      <c r="D127" s="492"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93"/>
      <c r="F127" s="493"/>
      <c r="G127" s="493"/>
      <c r="H127" s="493"/>
      <c r="I127" s="493"/>
      <c r="J127" s="493"/>
      <c r="K127" s="493"/>
      <c r="L127" s="493"/>
      <c r="M127" s="493"/>
      <c r="N127" s="493"/>
      <c r="O127" s="494"/>
      <c r="P127" s="1"/>
      <c r="T127" s="491" t="s">
        <v>25</v>
      </c>
      <c r="U127" s="490"/>
      <c r="V127" s="490"/>
      <c r="W127" s="490"/>
      <c r="X127" s="1"/>
      <c r="Y127" s="7">
        <f>'Mon Entreprise'!I98</f>
        <v>0</v>
      </c>
      <c r="Z127" s="133"/>
      <c r="AA127" s="21"/>
      <c r="AB127" s="7">
        <f>IF('Mon Entreprise'!I98-'Mon Entreprise'!M116&lt;0,0,'Mon Entreprise'!I98-'Mon Entreprise'!M116)</f>
        <v>0</v>
      </c>
      <c r="AC127" s="36"/>
      <c r="AD127" s="1"/>
      <c r="AE127" s="27">
        <f>IFERROR(1-'Mon Entreprise'!M116/'Mon Entreprise'!I98,0)</f>
        <v>0</v>
      </c>
    </row>
    <row r="128" spans="2:31" ht="15.75" hidden="1" customHeight="1">
      <c r="B128" s="103"/>
      <c r="C128" s="387"/>
      <c r="D128" s="495"/>
      <c r="E128" s="496"/>
      <c r="F128" s="496"/>
      <c r="G128" s="496"/>
      <c r="H128" s="496"/>
      <c r="I128" s="496"/>
      <c r="J128" s="496"/>
      <c r="K128" s="496"/>
      <c r="L128" s="496"/>
      <c r="M128" s="496"/>
      <c r="N128" s="496"/>
      <c r="O128" s="497"/>
      <c r="P128" s="1"/>
      <c r="T128" s="501" t="s">
        <v>22</v>
      </c>
      <c r="U128" s="502"/>
      <c r="V128" s="502"/>
      <c r="W128" s="502"/>
      <c r="X128" s="139"/>
      <c r="Y128" s="140" t="str">
        <f>IF('Mon Entreprise'!I169="","NC",'Mon Entreprise'!I169)</f>
        <v>NC</v>
      </c>
      <c r="Z128" s="191"/>
      <c r="AA128" s="192"/>
      <c r="AB128" s="143" t="str">
        <f>IFERROR(IF('Mon Entreprise'!I169-'Mon Entreprise'!M116&lt;0,0,'Mon Entreprise'!I169-'Mon Entreprise'!M116),"NC")</f>
        <v>NC</v>
      </c>
      <c r="AC128" s="193"/>
      <c r="AD128" s="139"/>
      <c r="AE128" s="146" t="str">
        <f>IFERROR(1-'Mon Entreprise'!M116/'Mon Entreprise'!I169,"NC")</f>
        <v>NC</v>
      </c>
    </row>
    <row r="129" spans="2:31" ht="15.75" hidden="1" customHeight="1">
      <c r="B129" s="103"/>
      <c r="C129" s="387"/>
      <c r="D129" s="495"/>
      <c r="E129" s="496"/>
      <c r="F129" s="496"/>
      <c r="G129" s="496"/>
      <c r="H129" s="496"/>
      <c r="I129" s="496"/>
      <c r="J129" s="496"/>
      <c r="K129" s="496"/>
      <c r="L129" s="496"/>
      <c r="M129" s="496"/>
      <c r="N129" s="496"/>
      <c r="O129" s="497"/>
      <c r="P129" s="1"/>
      <c r="T129" s="14"/>
      <c r="U129" s="1"/>
      <c r="V129" s="1"/>
      <c r="W129" s="1"/>
      <c r="X129" s="1"/>
      <c r="Y129" s="1"/>
      <c r="Z129" s="1"/>
      <c r="AA129" s="1"/>
      <c r="AB129" s="1"/>
      <c r="AC129" s="1"/>
      <c r="AD129" s="1"/>
      <c r="AE129" s="13"/>
    </row>
    <row r="130" spans="2:31" ht="15.75" hidden="1" customHeight="1">
      <c r="B130" s="103"/>
      <c r="C130" s="387"/>
      <c r="D130" s="495"/>
      <c r="E130" s="496"/>
      <c r="F130" s="496"/>
      <c r="G130" s="496"/>
      <c r="H130" s="496"/>
      <c r="I130" s="496"/>
      <c r="J130" s="496"/>
      <c r="K130" s="496"/>
      <c r="L130" s="496"/>
      <c r="M130" s="496"/>
      <c r="N130" s="496"/>
      <c r="O130" s="497"/>
      <c r="P130" s="1"/>
      <c r="T130" s="14"/>
      <c r="AC130" s="1"/>
      <c r="AD130" s="1"/>
      <c r="AE130" s="13"/>
    </row>
    <row r="131" spans="2:31" ht="15.75" hidden="1" customHeight="1" thickBot="1">
      <c r="B131" s="103"/>
      <c r="C131" s="387"/>
      <c r="D131" s="498"/>
      <c r="E131" s="499"/>
      <c r="F131" s="499"/>
      <c r="G131" s="499"/>
      <c r="H131" s="499"/>
      <c r="I131" s="499"/>
      <c r="J131" s="499"/>
      <c r="K131" s="499"/>
      <c r="L131" s="499"/>
      <c r="M131" s="499"/>
      <c r="N131" s="499"/>
      <c r="O131" s="500"/>
      <c r="P131" s="1"/>
      <c r="T131" s="14"/>
      <c r="AC131" s="1"/>
      <c r="AD131" s="1"/>
      <c r="AE131" s="13"/>
    </row>
    <row r="132" spans="2:31" ht="16.5" hidden="1" customHeight="1">
      <c r="B132" s="103"/>
      <c r="C132" s="387"/>
      <c r="D132" s="60"/>
      <c r="E132" s="387"/>
      <c r="F132" s="387"/>
      <c r="G132" s="387"/>
      <c r="H132" s="387"/>
      <c r="I132" s="387"/>
      <c r="J132" s="387"/>
      <c r="K132" s="387"/>
      <c r="L132" s="387"/>
      <c r="M132" s="387"/>
      <c r="N132" s="387"/>
      <c r="O132" s="387"/>
      <c r="P132" s="1"/>
      <c r="T132" s="14"/>
      <c r="AC132" s="1"/>
      <c r="AD132" s="1"/>
      <c r="AE132" s="13"/>
    </row>
    <row r="133" spans="2:31" ht="15.75">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c r="B134" s="103"/>
      <c r="C134" s="387"/>
      <c r="D134" s="60"/>
      <c r="E134" s="387"/>
      <c r="F134" s="387"/>
      <c r="G134" s="387"/>
      <c r="H134" s="387"/>
      <c r="I134" s="387"/>
      <c r="J134" s="387"/>
      <c r="K134" s="387"/>
      <c r="L134" s="387"/>
      <c r="M134" s="387"/>
      <c r="N134" s="387"/>
      <c r="O134" s="387"/>
      <c r="P134" s="1"/>
      <c r="T134" s="14"/>
      <c r="U134" s="506" t="s">
        <v>72</v>
      </c>
      <c r="V134" s="506"/>
      <c r="W134" s="506"/>
      <c r="X134" s="506"/>
      <c r="Y134" s="506"/>
      <c r="Z134" s="1"/>
      <c r="AA134" s="14"/>
      <c r="AB134" s="385" t="str">
        <f>IF('Mon Entreprise'!K8&lt;=Annexes!Q24,"Oui","Non")</f>
        <v>Oui</v>
      </c>
      <c r="AC134" s="1"/>
      <c r="AD134" s="1"/>
      <c r="AE134" s="13"/>
    </row>
    <row r="135" spans="2:31" ht="15.75">
      <c r="B135" s="103"/>
      <c r="C135" s="387" t="s">
        <v>100</v>
      </c>
      <c r="D135" s="60"/>
      <c r="E135" s="387"/>
      <c r="F135" s="387"/>
      <c r="G135" s="387"/>
      <c r="H135" s="387"/>
      <c r="I135" s="387"/>
      <c r="J135" s="387"/>
      <c r="K135" s="387"/>
      <c r="L135" s="387"/>
      <c r="M135" s="387"/>
      <c r="N135" s="387"/>
      <c r="O135" s="387"/>
      <c r="P135" s="1"/>
      <c r="T135" s="14"/>
      <c r="U135" s="386"/>
      <c r="V135" s="506" t="s">
        <v>393</v>
      </c>
      <c r="W135" s="506"/>
      <c r="X135" s="506"/>
      <c r="Y135" s="506"/>
      <c r="Z135" s="1"/>
      <c r="AA135" s="14"/>
      <c r="AB135" s="385">
        <f>IF('Mon Entreprise'!K8&gt;=Annexes!O20,IF(Y126&gt;=Y128,Y126,Y128),IF(Y126&gt;=Y127,Y126,Y127))</f>
        <v>0</v>
      </c>
      <c r="AC135" s="1"/>
      <c r="AD135" s="1"/>
      <c r="AE135" s="13"/>
    </row>
    <row r="136" spans="2:31" ht="15.75">
      <c r="B136" s="168"/>
      <c r="C136" s="387"/>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387"/>
      <c r="F136" s="387"/>
      <c r="G136" s="387"/>
      <c r="H136" s="387"/>
      <c r="I136" s="387"/>
      <c r="J136" s="387"/>
      <c r="K136" s="387"/>
      <c r="L136" s="387"/>
      <c r="M136" s="387"/>
      <c r="N136" s="387"/>
      <c r="O136" s="387"/>
      <c r="P136" s="1"/>
      <c r="T136" s="14"/>
      <c r="U136" s="506" t="s">
        <v>84</v>
      </c>
      <c r="V136" s="506"/>
      <c r="W136" s="506"/>
      <c r="X136" s="506"/>
      <c r="Y136" s="506"/>
      <c r="Z136" s="1"/>
      <c r="AA136" s="14"/>
      <c r="AB136" s="381">
        <f>IF('Mon Entreprise'!K8&gt;=Annexes!O20,IF(AB126&gt;=AB128,AB126,AB128),IF(AB126&gt;=AB127,AB126,AB127))</f>
        <v>0</v>
      </c>
      <c r="AC136" s="1"/>
      <c r="AD136" s="1"/>
      <c r="AE136" s="13"/>
    </row>
    <row r="137" spans="2:31" ht="16.5" thickBot="1">
      <c r="B137" s="103"/>
      <c r="C137" s="387"/>
      <c r="D137" s="60"/>
      <c r="E137" s="387"/>
      <c r="F137" s="387"/>
      <c r="G137" s="387"/>
      <c r="H137" s="387"/>
      <c r="I137" s="387"/>
      <c r="J137" s="387"/>
      <c r="K137" s="387"/>
      <c r="L137" s="387"/>
      <c r="M137" s="387"/>
      <c r="N137" s="387"/>
      <c r="O137" s="387"/>
      <c r="P137" s="1"/>
      <c r="T137" s="14"/>
      <c r="U137" s="506" t="s">
        <v>85</v>
      </c>
      <c r="V137" s="506"/>
      <c r="W137" s="506"/>
      <c r="X137" s="506"/>
      <c r="Y137" s="506"/>
      <c r="Z137" s="1"/>
      <c r="AA137" s="14"/>
      <c r="AB137" s="19">
        <f>IF('Mon Entreprise'!K8&gt;=Annexes!O20,IF(AB126&gt;=AB128,AE126,AE128),IF(AB126&gt;=AB127,AE126,AE127))</f>
        <v>0</v>
      </c>
      <c r="AC137" s="1"/>
      <c r="AD137" s="1"/>
      <c r="AE137" s="13"/>
    </row>
    <row r="138" spans="2:31" ht="15.75">
      <c r="B138" s="168"/>
      <c r="C138" s="387"/>
      <c r="D138" s="508"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509"/>
      <c r="F138" s="509"/>
      <c r="G138" s="509"/>
      <c r="H138" s="509"/>
      <c r="I138" s="509"/>
      <c r="J138" s="509"/>
      <c r="K138" s="509"/>
      <c r="L138" s="509"/>
      <c r="M138" s="509"/>
      <c r="N138" s="509"/>
      <c r="O138" s="510"/>
      <c r="P138" s="1"/>
      <c r="T138" s="14"/>
      <c r="U138" s="1"/>
      <c r="V138" s="1"/>
      <c r="W138" s="1"/>
      <c r="X138" s="1"/>
      <c r="Y138" s="1"/>
      <c r="Z138" s="1"/>
      <c r="AA138" s="1"/>
      <c r="AB138" s="1"/>
      <c r="AC138" s="1"/>
      <c r="AD138" s="1"/>
      <c r="AE138" s="13"/>
    </row>
    <row r="139" spans="2:31" ht="15.75" customHeight="1">
      <c r="B139" s="168"/>
      <c r="C139" s="387"/>
      <c r="D139" s="511"/>
      <c r="E139" s="512"/>
      <c r="F139" s="512"/>
      <c r="G139" s="512"/>
      <c r="H139" s="512"/>
      <c r="I139" s="512"/>
      <c r="J139" s="512"/>
      <c r="K139" s="512"/>
      <c r="L139" s="512"/>
      <c r="M139" s="512"/>
      <c r="N139" s="512"/>
      <c r="O139" s="513"/>
      <c r="P139" s="1"/>
      <c r="T139" s="14"/>
      <c r="U139" s="1"/>
      <c r="V139" s="1"/>
      <c r="W139" s="1"/>
      <c r="X139" s="1"/>
      <c r="Y139" s="1"/>
      <c r="Z139" s="1"/>
      <c r="AA139" s="1"/>
      <c r="AB139" s="1"/>
      <c r="AC139" s="1"/>
      <c r="AD139" s="1"/>
      <c r="AE139" s="13"/>
    </row>
    <row r="140" spans="2:31" ht="15.75" customHeight="1">
      <c r="B140" s="103"/>
      <c r="C140" s="387"/>
      <c r="D140" s="511"/>
      <c r="E140" s="512"/>
      <c r="F140" s="512"/>
      <c r="G140" s="512"/>
      <c r="H140" s="512"/>
      <c r="I140" s="512"/>
      <c r="J140" s="512"/>
      <c r="K140" s="512"/>
      <c r="L140" s="512"/>
      <c r="M140" s="512"/>
      <c r="N140" s="512"/>
      <c r="O140" s="513"/>
      <c r="P140" s="1"/>
      <c r="T140" s="14"/>
      <c r="U140" s="1"/>
      <c r="V140" s="1"/>
      <c r="W140" s="1"/>
      <c r="X140" s="1"/>
      <c r="Y140" s="1"/>
      <c r="Z140" s="1"/>
      <c r="AA140" s="1"/>
      <c r="AB140" s="1"/>
      <c r="AC140" s="1"/>
      <c r="AD140" s="1"/>
      <c r="AE140" s="13"/>
    </row>
    <row r="141" spans="2:31" ht="15.75" customHeight="1" thickBot="1">
      <c r="B141" s="103"/>
      <c r="C141" s="387"/>
      <c r="D141" s="514"/>
      <c r="E141" s="515"/>
      <c r="F141" s="515"/>
      <c r="G141" s="515"/>
      <c r="H141" s="515"/>
      <c r="I141" s="515"/>
      <c r="J141" s="515"/>
      <c r="K141" s="515"/>
      <c r="L141" s="515"/>
      <c r="M141" s="515"/>
      <c r="N141" s="515"/>
      <c r="O141" s="516"/>
      <c r="P141" s="1"/>
      <c r="T141" s="14"/>
      <c r="U141" s="1"/>
      <c r="V141" s="1"/>
      <c r="W141" s="1"/>
      <c r="X141" s="1"/>
      <c r="Y141" s="1"/>
      <c r="Z141" s="1"/>
      <c r="AA141" s="1"/>
      <c r="AB141" s="1"/>
      <c r="AC141" s="1"/>
      <c r="AD141" s="1"/>
      <c r="AE141" s="13"/>
    </row>
    <row r="142" spans="2:31" ht="16.5" customHeight="1">
      <c r="B142" s="103"/>
      <c r="C142" s="169"/>
      <c r="D142" s="170"/>
      <c r="E142" s="170"/>
      <c r="F142" s="170"/>
      <c r="G142" s="170"/>
      <c r="H142" s="170"/>
      <c r="I142" s="170"/>
      <c r="J142" s="170"/>
      <c r="K142" s="170"/>
      <c r="L142" s="170"/>
      <c r="M142" s="170"/>
      <c r="N142" s="170"/>
      <c r="O142" s="170"/>
      <c r="P142" s="1"/>
      <c r="T142" s="14"/>
      <c r="U142" s="1"/>
      <c r="V142" s="1"/>
      <c r="W142" s="1"/>
      <c r="X142" s="1"/>
      <c r="Y142" s="1"/>
      <c r="Z142" s="1"/>
      <c r="AA142" s="1"/>
      <c r="AB142" s="1"/>
      <c r="AC142" s="1"/>
      <c r="AD142" s="1"/>
      <c r="AE142" s="13"/>
    </row>
    <row r="143" spans="2:31" ht="16.5" customHeight="1">
      <c r="B143" s="103"/>
      <c r="C143" s="387"/>
      <c r="D143" s="306"/>
      <c r="E143" s="306"/>
      <c r="F143" s="306"/>
      <c r="G143" s="306"/>
      <c r="H143" s="306"/>
      <c r="I143" s="306"/>
      <c r="J143" s="306"/>
      <c r="K143" s="306"/>
      <c r="L143" s="306"/>
      <c r="M143" s="306"/>
      <c r="N143" s="306"/>
      <c r="O143" s="306"/>
      <c r="P143" s="1"/>
      <c r="T143" s="518" t="s">
        <v>4</v>
      </c>
      <c r="U143" s="519"/>
      <c r="V143" s="519"/>
      <c r="W143" s="519"/>
      <c r="X143" s="519"/>
      <c r="Y143" s="519"/>
      <c r="Z143" s="139"/>
      <c r="AA143" s="145"/>
      <c r="AB143" s="194">
        <f>IFERROR(IF('Mon Entreprise'!K8&gt;=Annexes!Q18,0,1-'Mon Entreprise'!M118/2/AB135),0)</f>
        <v>0</v>
      </c>
      <c r="AC143" s="1"/>
      <c r="AD143" s="1"/>
      <c r="AE143" s="13"/>
    </row>
    <row r="144" spans="2:31" ht="16.5" customHeight="1">
      <c r="B144" s="103"/>
      <c r="C144" s="505" t="s">
        <v>112</v>
      </c>
      <c r="D144" s="505"/>
      <c r="E144" s="505"/>
      <c r="F144" s="505"/>
      <c r="G144" s="505"/>
      <c r="H144" s="505"/>
      <c r="I144" s="505"/>
      <c r="J144" s="505"/>
      <c r="K144" s="505"/>
      <c r="L144" s="505"/>
      <c r="M144" s="505"/>
      <c r="N144" s="505"/>
      <c r="O144" s="505"/>
      <c r="P144" s="1"/>
      <c r="T144" s="110"/>
      <c r="U144" s="520" t="s">
        <v>102</v>
      </c>
      <c r="V144" s="520"/>
      <c r="W144" s="520"/>
      <c r="X144" s="520"/>
      <c r="Y144" s="520"/>
      <c r="Z144" s="139"/>
      <c r="AA144" s="145"/>
      <c r="AB144" s="194">
        <f>IFERROR(IF('Mon Entreprise'!K8&gt;Annexes!Q26,0,1-'Mon Entreprise'!M114/AB135),0)</f>
        <v>0</v>
      </c>
      <c r="AC144" s="1"/>
      <c r="AD144" s="1"/>
      <c r="AE144" s="13"/>
    </row>
    <row r="145" spans="1:31" ht="16.5" customHeight="1">
      <c r="B145" s="103"/>
      <c r="C145" s="505"/>
      <c r="D145" s="505"/>
      <c r="E145" s="505"/>
      <c r="F145" s="505"/>
      <c r="G145" s="505"/>
      <c r="H145" s="505"/>
      <c r="I145" s="505"/>
      <c r="J145" s="505"/>
      <c r="K145" s="505"/>
      <c r="L145" s="505"/>
      <c r="M145" s="505"/>
      <c r="N145" s="505"/>
      <c r="O145" s="505"/>
      <c r="P145" s="1"/>
      <c r="T145" s="110"/>
      <c r="U145" s="520" t="s">
        <v>109</v>
      </c>
      <c r="V145" s="520"/>
      <c r="W145" s="520"/>
      <c r="X145" s="520"/>
      <c r="Y145" s="520"/>
      <c r="Z145" s="139"/>
      <c r="AA145" s="145"/>
      <c r="AB145" s="194">
        <f>IFERROR(IF(Annexes!O27&gt;'Mon Entreprise'!K8,1-'Mon Entreprise'!M98/'Mon Entreprise'!I98,""),0)</f>
        <v>0</v>
      </c>
      <c r="AC145" s="1"/>
      <c r="AD145" s="1"/>
      <c r="AE145" s="13"/>
    </row>
    <row r="146" spans="1:31" ht="16.5" customHeight="1">
      <c r="B146" s="103"/>
      <c r="C146" s="505"/>
      <c r="D146" s="505"/>
      <c r="E146" s="505"/>
      <c r="F146" s="505"/>
      <c r="G146" s="505"/>
      <c r="H146" s="505"/>
      <c r="I146" s="505"/>
      <c r="J146" s="505"/>
      <c r="K146" s="505"/>
      <c r="L146" s="505"/>
      <c r="M146" s="505"/>
      <c r="N146" s="505"/>
      <c r="O146" s="505"/>
      <c r="P146" s="1"/>
      <c r="T146" s="14"/>
      <c r="U146" s="521" t="s">
        <v>8</v>
      </c>
      <c r="V146" s="521"/>
      <c r="W146" s="521"/>
      <c r="X146" s="521"/>
      <c r="Y146" s="521"/>
      <c r="Z146" s="1"/>
      <c r="AA146" s="14"/>
      <c r="AB146" s="381" t="str">
        <f>IF((AND(Annexes!F5&gt;1,Annexes!F5&lt;=Annexes!H6)),"OUI","NON")</f>
        <v>NON</v>
      </c>
      <c r="AC146" s="1"/>
      <c r="AD146" s="1"/>
      <c r="AE146" s="13"/>
    </row>
    <row r="147" spans="1:31" ht="16.5" customHeight="1">
      <c r="B147" s="103"/>
      <c r="C147" s="387"/>
      <c r="D147" s="306"/>
      <c r="E147" s="417"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417"/>
      <c r="G147" s="417"/>
      <c r="H147" s="417"/>
      <c r="I147" s="417"/>
      <c r="J147" s="417"/>
      <c r="K147" s="417"/>
      <c r="L147" s="417"/>
      <c r="M147" s="417"/>
      <c r="N147" s="417"/>
      <c r="O147" s="417"/>
      <c r="P147" s="1"/>
      <c r="T147" s="14"/>
      <c r="U147" s="490" t="s">
        <v>113</v>
      </c>
      <c r="V147" s="490"/>
      <c r="W147" s="490"/>
      <c r="X147" s="490"/>
      <c r="Y147" s="490"/>
      <c r="Z147" s="1"/>
      <c r="AA147" s="14"/>
      <c r="AB147" s="381" t="str">
        <f>IF(OR(Annexes!M17=TRUE,AND(Annexes!F7&gt;1,Annexes!F7&lt;=Annexes!H8)),"OUI","NON")</f>
        <v>NON</v>
      </c>
      <c r="AC147" s="1"/>
      <c r="AD147" s="1"/>
      <c r="AE147" s="13"/>
    </row>
    <row r="148" spans="1:31" ht="16.5" customHeight="1">
      <c r="B148" s="168"/>
      <c r="C148" s="387"/>
      <c r="D148" s="306"/>
      <c r="E148" s="417"/>
      <c r="F148" s="417"/>
      <c r="G148" s="417"/>
      <c r="H148" s="417"/>
      <c r="I148" s="417"/>
      <c r="J148" s="417"/>
      <c r="K148" s="417"/>
      <c r="L148" s="417"/>
      <c r="M148" s="417"/>
      <c r="N148" s="417"/>
      <c r="O148" s="417"/>
      <c r="P148" s="1"/>
      <c r="T148" s="14"/>
      <c r="U148" s="490" t="s">
        <v>12</v>
      </c>
      <c r="V148" s="490"/>
      <c r="W148" s="490"/>
      <c r="X148" s="490"/>
      <c r="Y148" s="490"/>
      <c r="Z148" s="1"/>
      <c r="AA148" s="14"/>
      <c r="AB148" s="381" t="b">
        <f>Annexes!M15</f>
        <v>0</v>
      </c>
      <c r="AC148" s="1"/>
      <c r="AD148" s="1"/>
      <c r="AE148" s="13"/>
    </row>
    <row r="149" spans="1:31" ht="16.5" customHeight="1">
      <c r="A149" s="99"/>
      <c r="B149" s="103"/>
      <c r="C149" s="387"/>
      <c r="D149" s="523"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523"/>
      <c r="F149" s="523"/>
      <c r="G149" s="523"/>
      <c r="H149" s="523"/>
      <c r="I149" s="523"/>
      <c r="J149" s="523"/>
      <c r="K149" s="523"/>
      <c r="L149" s="523"/>
      <c r="M149" s="523"/>
      <c r="N149" s="523"/>
      <c r="O149" s="523"/>
      <c r="P149" s="1"/>
      <c r="T149" s="14"/>
      <c r="U149" s="525" t="s">
        <v>72</v>
      </c>
      <c r="V149" s="525"/>
      <c r="W149" s="525"/>
      <c r="X149" s="525"/>
      <c r="Y149" s="525"/>
      <c r="Z149" s="139"/>
      <c r="AA149" s="145"/>
      <c r="AB149" s="385" t="str">
        <f>IF('Mon Entreprise'!K8&lt;=Annexes!Q24,"Oui","Non")</f>
        <v>Oui</v>
      </c>
      <c r="AC149" s="139"/>
      <c r="AD149" s="1"/>
      <c r="AE149" s="13"/>
    </row>
    <row r="150" spans="1:31" ht="16.5" customHeight="1">
      <c r="B150" s="103"/>
      <c r="C150" s="387"/>
      <c r="D150" s="215" t="str">
        <f>IF(OR(AB146="OUI",AB148=TRUE),"- Sans ticket modérateur",IF(AND(AB147="OUI",OR(AB143&gt;=0.8,AB144&gt;=0.8,AB145&gt;=0.1)),"- La Perte de référence est plafonnée à 80 %, soit "&amp;ROUND(AB154,0)&amp;" €","- Sans ticket modérateur"))</f>
        <v>- Sans ticket modérateur</v>
      </c>
      <c r="E150" s="377"/>
      <c r="F150" s="377"/>
      <c r="G150" s="377"/>
      <c r="H150" s="377"/>
      <c r="I150" s="377"/>
      <c r="J150" s="377"/>
      <c r="K150" s="377"/>
      <c r="L150" s="377"/>
      <c r="M150" s="377"/>
      <c r="N150" s="377"/>
      <c r="O150" s="377"/>
      <c r="P150" s="1"/>
      <c r="T150" s="14"/>
      <c r="U150" s="525" t="s">
        <v>84</v>
      </c>
      <c r="V150" s="525"/>
      <c r="W150" s="525"/>
      <c r="X150" s="525"/>
      <c r="Y150" s="525"/>
      <c r="Z150" s="139"/>
      <c r="AA150" s="145"/>
      <c r="AB150" s="385">
        <f>IF('Mon Entreprise'!K8&gt;=Annexes!O20,IF(AB126&gt;=AB128,AB126,AB128),IF(AB126&gt;=AB127,AB126,AB127))</f>
        <v>0</v>
      </c>
      <c r="AC150" s="139"/>
      <c r="AD150" s="1"/>
      <c r="AE150" s="13"/>
    </row>
    <row r="151" spans="1:31" ht="16.5" customHeight="1" thickBot="1">
      <c r="B151" s="103"/>
      <c r="C151" s="387"/>
      <c r="D151" s="377"/>
      <c r="E151" s="377"/>
      <c r="F151" s="377"/>
      <c r="G151" s="377"/>
      <c r="H151" s="377"/>
      <c r="I151" s="377"/>
      <c r="J151" s="377"/>
      <c r="K151" s="377"/>
      <c r="L151" s="377"/>
      <c r="M151" s="377"/>
      <c r="N151" s="377"/>
      <c r="O151" s="377"/>
      <c r="P151" s="1"/>
      <c r="T151" s="14"/>
      <c r="U151" s="525" t="s">
        <v>85</v>
      </c>
      <c r="V151" s="525"/>
      <c r="W151" s="525"/>
      <c r="X151" s="525"/>
      <c r="Y151" s="525"/>
      <c r="Z151" s="139"/>
      <c r="AA151" s="145"/>
      <c r="AB151" s="385">
        <f>IF('Mon Entreprise'!K8&gt;=Annexes!O20,IF(AB126&gt;=AB128,AE126,AE128),IF(AB126&gt;=AB127,AE126,AE127))</f>
        <v>0</v>
      </c>
      <c r="AC151" s="139"/>
      <c r="AD151" s="1"/>
      <c r="AE151" s="13"/>
    </row>
    <row r="152" spans="1:31" ht="16.5" customHeight="1">
      <c r="B152" s="103"/>
      <c r="C152" s="387"/>
      <c r="D152" s="508"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509"/>
      <c r="F152" s="509"/>
      <c r="G152" s="509"/>
      <c r="H152" s="509"/>
      <c r="I152" s="509"/>
      <c r="J152" s="509"/>
      <c r="K152" s="509"/>
      <c r="L152" s="509"/>
      <c r="M152" s="509"/>
      <c r="N152" s="509"/>
      <c r="O152" s="510"/>
      <c r="P152" s="1"/>
      <c r="T152" s="14"/>
      <c r="U152" s="502" t="s">
        <v>74</v>
      </c>
      <c r="V152" s="502"/>
      <c r="W152" s="502"/>
      <c r="X152" s="502"/>
      <c r="Y152" s="502"/>
      <c r="Z152" s="139"/>
      <c r="AA152" s="145"/>
      <c r="AB152" s="385">
        <f>IF(OR(AB146="OUI",AB148=TRUE),1,IF(AND(AB147="OUI",OR(AB143&gt;=0.8,AB144&gt;=0.8)),0.8,1))</f>
        <v>1</v>
      </c>
      <c r="AC152" s="139"/>
      <c r="AD152" s="1"/>
      <c r="AE152" s="13"/>
    </row>
    <row r="153" spans="1:31" ht="16.5" customHeight="1">
      <c r="B153" s="173"/>
      <c r="C153" s="387"/>
      <c r="D153" s="511"/>
      <c r="E153" s="512"/>
      <c r="F153" s="512"/>
      <c r="G153" s="512"/>
      <c r="H153" s="512"/>
      <c r="I153" s="512"/>
      <c r="J153" s="512"/>
      <c r="K153" s="512"/>
      <c r="L153" s="512"/>
      <c r="M153" s="512"/>
      <c r="N153" s="512"/>
      <c r="O153" s="513"/>
      <c r="P153" s="1"/>
      <c r="T153" s="14"/>
      <c r="U153" s="502" t="s">
        <v>80</v>
      </c>
      <c r="V153" s="502"/>
      <c r="W153" s="502"/>
      <c r="X153" s="502"/>
      <c r="Y153" s="502"/>
      <c r="Z153" s="139"/>
      <c r="AA153" s="145"/>
      <c r="AB153" s="385">
        <f>IF('Mon Entreprise'!K8&gt;=Annexes!O20,IF(AB126&gt;=AB128,Y126,Y128),IF(AB126&gt;=AB127,Y126,Y127))</f>
        <v>0</v>
      </c>
      <c r="AC153" s="139"/>
      <c r="AD153" s="1"/>
      <c r="AE153" s="13"/>
    </row>
    <row r="154" spans="1:31" ht="16.5" customHeight="1">
      <c r="B154" s="103"/>
      <c r="C154" s="387"/>
      <c r="D154" s="511"/>
      <c r="E154" s="512"/>
      <c r="F154" s="512"/>
      <c r="G154" s="512"/>
      <c r="H154" s="512"/>
      <c r="I154" s="512"/>
      <c r="J154" s="512"/>
      <c r="K154" s="512"/>
      <c r="L154" s="512"/>
      <c r="M154" s="512"/>
      <c r="N154" s="512"/>
      <c r="O154" s="513"/>
      <c r="P154" s="1"/>
      <c r="T154" s="14"/>
      <c r="U154" s="490" t="s">
        <v>104</v>
      </c>
      <c r="V154" s="490"/>
      <c r="W154" s="490"/>
      <c r="X154" s="490"/>
      <c r="Y154" s="490"/>
      <c r="Z154" s="1"/>
      <c r="AA154" s="14"/>
      <c r="AB154" s="381">
        <f>IF(AB152=1,AB150,IF(AB150*AB152&gt;1500,IF(AB150&gt;1500,AB150*AB152,"Impossible"),IF(AB150&lt;1500,AB150,1500)))</f>
        <v>0</v>
      </c>
      <c r="AC154" s="1"/>
      <c r="AD154" s="1"/>
      <c r="AE154" s="13"/>
    </row>
    <row r="155" spans="1:31" ht="16.5" customHeight="1" thickBot="1">
      <c r="B155" s="103"/>
      <c r="C155" s="387"/>
      <c r="D155" s="514"/>
      <c r="E155" s="515"/>
      <c r="F155" s="515"/>
      <c r="G155" s="515"/>
      <c r="H155" s="515"/>
      <c r="I155" s="515"/>
      <c r="J155" s="515"/>
      <c r="K155" s="515"/>
      <c r="L155" s="515"/>
      <c r="M155" s="515"/>
      <c r="N155" s="515"/>
      <c r="O155" s="516"/>
      <c r="P155" s="1"/>
      <c r="T155" s="14"/>
      <c r="U155" s="381"/>
      <c r="V155" s="381"/>
      <c r="W155" s="381"/>
      <c r="X155" s="381"/>
      <c r="Y155" s="381"/>
      <c r="Z155" s="1"/>
      <c r="AA155" s="1"/>
      <c r="AB155" s="1"/>
      <c r="AC155" s="1"/>
      <c r="AD155" s="1"/>
      <c r="AE155" s="13"/>
    </row>
    <row r="156" spans="1:31" ht="16.5" customHeight="1">
      <c r="B156" s="103"/>
      <c r="C156" s="169"/>
      <c r="D156" s="174"/>
      <c r="E156" s="174"/>
      <c r="F156" s="174"/>
      <c r="G156" s="174"/>
      <c r="H156" s="174"/>
      <c r="I156" s="174"/>
      <c r="J156" s="174"/>
      <c r="K156" s="174"/>
      <c r="L156" s="174"/>
      <c r="M156" s="174"/>
      <c r="N156" s="174"/>
      <c r="O156" s="174"/>
      <c r="P156" s="1"/>
      <c r="T156" s="14"/>
      <c r="U156" s="490"/>
      <c r="V156" s="490"/>
      <c r="W156" s="490"/>
      <c r="X156" s="490"/>
      <c r="Y156" s="490"/>
      <c r="Z156" s="1"/>
      <c r="AA156" s="1"/>
      <c r="AB156" s="1"/>
      <c r="AC156" s="1"/>
      <c r="AD156" s="1"/>
      <c r="AE156" s="13"/>
    </row>
    <row r="157" spans="1:31" ht="16.5" customHeight="1">
      <c r="B157" s="103"/>
      <c r="C157" s="387"/>
      <c r="D157" s="377"/>
      <c r="E157" s="377"/>
      <c r="F157" s="377"/>
      <c r="G157" s="377"/>
      <c r="H157" s="377"/>
      <c r="I157" s="377"/>
      <c r="J157" s="377"/>
      <c r="K157" s="377"/>
      <c r="L157" s="377"/>
      <c r="M157" s="377"/>
      <c r="N157" s="377"/>
      <c r="O157" s="377"/>
      <c r="P157" s="1"/>
      <c r="T157" s="14"/>
      <c r="U157" s="381"/>
      <c r="V157" s="381"/>
      <c r="W157" s="381"/>
      <c r="X157" s="381"/>
      <c r="Y157" s="381"/>
      <c r="Z157" s="1"/>
      <c r="AA157" s="1"/>
      <c r="AB157" s="1"/>
      <c r="AC157" s="1"/>
      <c r="AD157" s="1"/>
      <c r="AE157" s="13"/>
    </row>
    <row r="158" spans="1:31" ht="16.5" customHeight="1">
      <c r="B158" s="103"/>
      <c r="C158" s="529" t="s">
        <v>114</v>
      </c>
      <c r="D158" s="529"/>
      <c r="E158" s="529"/>
      <c r="F158" s="529"/>
      <c r="G158" s="529"/>
      <c r="H158" s="529"/>
      <c r="I158" s="529"/>
      <c r="J158" s="529"/>
      <c r="K158" s="529"/>
      <c r="L158" s="529"/>
      <c r="M158" s="529"/>
      <c r="N158" s="529"/>
      <c r="O158" s="529"/>
      <c r="P158" s="1"/>
      <c r="T158" s="14"/>
      <c r="U158" s="1"/>
      <c r="V158" s="1"/>
      <c r="W158" s="1"/>
      <c r="X158" s="1"/>
      <c r="Y158" s="1"/>
      <c r="Z158" s="1"/>
      <c r="AA158" s="1"/>
      <c r="AB158" s="1"/>
      <c r="AC158" s="1"/>
      <c r="AD158" s="1"/>
      <c r="AE158" s="13"/>
    </row>
    <row r="159" spans="1:31" ht="16.5" customHeight="1">
      <c r="B159" s="103"/>
      <c r="C159" s="529"/>
      <c r="D159" s="529"/>
      <c r="E159" s="529"/>
      <c r="F159" s="529"/>
      <c r="G159" s="529"/>
      <c r="H159" s="529"/>
      <c r="I159" s="529"/>
      <c r="J159" s="529"/>
      <c r="K159" s="529"/>
      <c r="L159" s="529"/>
      <c r="M159" s="529"/>
      <c r="N159" s="529"/>
      <c r="O159" s="529"/>
      <c r="P159" s="1"/>
      <c r="T159" s="14"/>
      <c r="U159" s="1"/>
      <c r="V159" s="1"/>
      <c r="W159" s="1"/>
      <c r="X159" s="1"/>
      <c r="Y159" s="1"/>
      <c r="Z159" s="1"/>
      <c r="AA159" s="1"/>
      <c r="AB159" s="1"/>
      <c r="AC159" s="1"/>
      <c r="AD159" s="1"/>
      <c r="AE159" s="13"/>
    </row>
    <row r="160" spans="1:31" ht="16.5" customHeight="1">
      <c r="B160" s="173"/>
      <c r="C160" s="529"/>
      <c r="D160" s="529"/>
      <c r="E160" s="529"/>
      <c r="F160" s="529"/>
      <c r="G160" s="529"/>
      <c r="H160" s="529"/>
      <c r="I160" s="529"/>
      <c r="J160" s="529"/>
      <c r="K160" s="529"/>
      <c r="L160" s="529"/>
      <c r="M160" s="529"/>
      <c r="N160" s="529"/>
      <c r="O160" s="529"/>
      <c r="P160" s="1"/>
      <c r="T160" s="14"/>
      <c r="U160" s="502" t="s">
        <v>82</v>
      </c>
      <c r="V160" s="502"/>
      <c r="W160" s="502"/>
      <c r="X160" s="502"/>
      <c r="Y160" s="502"/>
      <c r="Z160" s="68"/>
      <c r="AA160" s="1"/>
      <c r="AB160" s="1">
        <f>IFERROR(IF(AB134="Non",0,IF(AB137&gt;=0.5,IF(AB136&gt;Annexes!O5,Annexes!O5,ROUND(AB136,0)),0)),0)</f>
        <v>0</v>
      </c>
      <c r="AC160" s="1"/>
      <c r="AD160" s="1"/>
      <c r="AE160" s="13"/>
    </row>
    <row r="161" spans="2:31" ht="16.5" customHeight="1">
      <c r="B161" s="173"/>
      <c r="C161" s="387"/>
      <c r="D161" s="306"/>
      <c r="E161" s="417"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417"/>
      <c r="G161" s="417"/>
      <c r="H161" s="417"/>
      <c r="I161" s="417"/>
      <c r="J161" s="417"/>
      <c r="K161" s="417"/>
      <c r="L161" s="417"/>
      <c r="M161" s="417"/>
      <c r="N161" s="417"/>
      <c r="O161" s="417"/>
      <c r="P161" s="1"/>
      <c r="T161" s="14"/>
      <c r="U161" s="502" t="s">
        <v>81</v>
      </c>
      <c r="V161" s="502"/>
      <c r="W161" s="502"/>
      <c r="X161" s="502"/>
      <c r="Y161" s="502"/>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customHeight="1">
      <c r="B162" s="173"/>
      <c r="C162" s="387"/>
      <c r="D162" s="306"/>
      <c r="E162" s="417"/>
      <c r="F162" s="417"/>
      <c r="G162" s="417"/>
      <c r="H162" s="417"/>
      <c r="I162" s="417"/>
      <c r="J162" s="417"/>
      <c r="K162" s="417"/>
      <c r="L162" s="417"/>
      <c r="M162" s="417"/>
      <c r="N162" s="417"/>
      <c r="O162" s="417"/>
      <c r="P162" s="1"/>
      <c r="T162" s="14"/>
      <c r="U162" s="502" t="s">
        <v>399</v>
      </c>
      <c r="V162" s="502"/>
      <c r="W162" s="502"/>
      <c r="X162" s="502"/>
      <c r="Y162" s="502"/>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customHeight="1">
      <c r="B163" s="173"/>
      <c r="C163" s="387"/>
      <c r="D163" s="417"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417"/>
      <c r="F163" s="417"/>
      <c r="G163" s="417"/>
      <c r="H163" s="417"/>
      <c r="I163" s="417"/>
      <c r="J163" s="417"/>
      <c r="K163" s="417"/>
      <c r="L163" s="417"/>
      <c r="M163" s="417"/>
      <c r="N163" s="417"/>
      <c r="O163" s="417"/>
      <c r="P163" s="377"/>
      <c r="Q163" s="377"/>
      <c r="T163" s="14"/>
      <c r="U163" s="1"/>
      <c r="V163" s="1"/>
      <c r="W163" s="1"/>
      <c r="X163" s="1"/>
      <c r="Y163" s="1"/>
      <c r="Z163" s="1"/>
      <c r="AA163" s="1"/>
      <c r="AB163" s="1"/>
      <c r="AC163" s="1"/>
      <c r="AD163" s="1"/>
      <c r="AE163" s="13"/>
    </row>
    <row r="164" spans="2:31" ht="16.5" customHeight="1">
      <c r="B164" s="103"/>
      <c r="C164" s="387"/>
      <c r="D164" s="523"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523"/>
      <c r="F164" s="523"/>
      <c r="G164" s="523"/>
      <c r="H164" s="523"/>
      <c r="I164" s="523"/>
      <c r="J164" s="523"/>
      <c r="K164" s="523"/>
      <c r="L164" s="523"/>
      <c r="M164" s="523"/>
      <c r="N164" s="523"/>
      <c r="O164" s="523"/>
      <c r="P164" s="377"/>
      <c r="Q164" s="377"/>
      <c r="T164" s="14"/>
      <c r="U164" s="1"/>
      <c r="V164" s="1"/>
      <c r="W164" s="1"/>
      <c r="X164" s="1"/>
      <c r="Y164" s="1"/>
      <c r="Z164" s="1"/>
      <c r="AA164" s="1"/>
      <c r="AB164" s="1"/>
      <c r="AC164" s="1"/>
      <c r="AD164" s="1"/>
      <c r="AE164" s="13"/>
    </row>
    <row r="165" spans="2:31" ht="16.5" customHeight="1">
      <c r="B165" s="168"/>
      <c r="C165" s="387"/>
      <c r="D165" s="523"/>
      <c r="E165" s="523"/>
      <c r="F165" s="523"/>
      <c r="G165" s="523"/>
      <c r="H165" s="523"/>
      <c r="I165" s="523"/>
      <c r="J165" s="523"/>
      <c r="K165" s="523"/>
      <c r="L165" s="523"/>
      <c r="M165" s="523"/>
      <c r="N165" s="523"/>
      <c r="O165" s="523"/>
      <c r="P165" s="377"/>
      <c r="Q165" s="377"/>
      <c r="T165" s="14"/>
      <c r="U165" s="1"/>
      <c r="V165" s="1"/>
      <c r="W165" s="1"/>
      <c r="X165" s="1"/>
      <c r="Y165" s="1"/>
      <c r="Z165" s="1"/>
      <c r="AA165" s="1"/>
      <c r="AB165" s="1"/>
      <c r="AC165" s="1"/>
      <c r="AD165" s="1"/>
      <c r="AE165" s="13"/>
    </row>
    <row r="166" spans="2:31" ht="16.5" customHeight="1" thickBot="1">
      <c r="B166" s="168"/>
      <c r="C166" s="387"/>
      <c r="D166" s="205"/>
      <c r="E166" s="377"/>
      <c r="F166" s="377"/>
      <c r="G166" s="377"/>
      <c r="H166" s="377"/>
      <c r="I166" s="377"/>
      <c r="J166" s="377"/>
      <c r="K166" s="377"/>
      <c r="L166" s="377"/>
      <c r="M166" s="377"/>
      <c r="N166" s="377"/>
      <c r="O166" s="377"/>
      <c r="P166" s="377"/>
      <c r="Q166" s="377"/>
      <c r="T166" s="14"/>
      <c r="U166" s="1"/>
      <c r="V166" s="1"/>
      <c r="W166" s="1"/>
      <c r="X166" s="1"/>
      <c r="Y166" s="1"/>
      <c r="Z166" s="1"/>
      <c r="AA166" s="1"/>
      <c r="AB166" s="1"/>
      <c r="AC166" s="1"/>
      <c r="AD166" s="1"/>
      <c r="AE166" s="13"/>
    </row>
    <row r="167" spans="2:31" ht="16.5" customHeight="1">
      <c r="B167" s="103"/>
      <c r="C167" s="180"/>
      <c r="D167" s="526"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509"/>
      <c r="F167" s="509"/>
      <c r="G167" s="509"/>
      <c r="H167" s="509"/>
      <c r="I167" s="509"/>
      <c r="J167" s="509"/>
      <c r="K167" s="509"/>
      <c r="L167" s="509"/>
      <c r="M167" s="509"/>
      <c r="N167" s="509"/>
      <c r="O167" s="510"/>
      <c r="P167" s="377"/>
      <c r="Q167" s="377"/>
      <c r="T167" s="14"/>
      <c r="U167" s="1"/>
      <c r="V167" s="1"/>
      <c r="W167" s="1"/>
      <c r="X167" s="1"/>
      <c r="Y167" s="1"/>
      <c r="Z167" s="1"/>
      <c r="AA167" s="1"/>
      <c r="AB167" s="1"/>
      <c r="AC167" s="1"/>
      <c r="AD167" s="1"/>
      <c r="AE167" s="13"/>
    </row>
    <row r="168" spans="2:31" ht="16.5" customHeight="1">
      <c r="B168" s="103"/>
      <c r="C168" s="180"/>
      <c r="D168" s="511"/>
      <c r="E168" s="512"/>
      <c r="F168" s="512"/>
      <c r="G168" s="512"/>
      <c r="H168" s="512"/>
      <c r="I168" s="512"/>
      <c r="J168" s="512"/>
      <c r="K168" s="512"/>
      <c r="L168" s="512"/>
      <c r="M168" s="512"/>
      <c r="N168" s="512"/>
      <c r="O168" s="513"/>
      <c r="P168" s="377"/>
      <c r="Q168" s="377"/>
      <c r="T168" s="14"/>
      <c r="U168" s="1"/>
      <c r="V168" s="1"/>
      <c r="W168" s="1"/>
      <c r="X168" s="1"/>
      <c r="Y168" s="1"/>
      <c r="Z168" s="1"/>
      <c r="AA168" s="1"/>
      <c r="AB168" s="1"/>
      <c r="AC168" s="1"/>
      <c r="AD168" s="1"/>
      <c r="AE168" s="13"/>
    </row>
    <row r="169" spans="2:31" ht="16.5" customHeight="1">
      <c r="B169" s="103"/>
      <c r="C169" s="180"/>
      <c r="D169" s="511"/>
      <c r="E169" s="512"/>
      <c r="F169" s="512"/>
      <c r="G169" s="512"/>
      <c r="H169" s="512"/>
      <c r="I169" s="512"/>
      <c r="J169" s="512"/>
      <c r="K169" s="512"/>
      <c r="L169" s="512"/>
      <c r="M169" s="512"/>
      <c r="N169" s="512"/>
      <c r="O169" s="513"/>
      <c r="P169" s="175"/>
      <c r="Q169" s="175"/>
      <c r="T169" s="14"/>
      <c r="U169" s="1"/>
      <c r="V169" s="1"/>
      <c r="W169" s="1"/>
      <c r="X169" s="1"/>
      <c r="Y169" s="1"/>
      <c r="Z169" s="1"/>
      <c r="AA169" s="1"/>
      <c r="AB169" s="1"/>
      <c r="AC169" s="1"/>
      <c r="AD169" s="1"/>
      <c r="AE169" s="13"/>
    </row>
    <row r="170" spans="2:31" ht="16.5" customHeight="1" thickBot="1">
      <c r="B170" s="103"/>
      <c r="C170" s="180"/>
      <c r="D170" s="514"/>
      <c r="E170" s="515"/>
      <c r="F170" s="515"/>
      <c r="G170" s="515"/>
      <c r="H170" s="515"/>
      <c r="I170" s="515"/>
      <c r="J170" s="515"/>
      <c r="K170" s="515"/>
      <c r="L170" s="515"/>
      <c r="M170" s="515"/>
      <c r="N170" s="515"/>
      <c r="O170" s="516"/>
      <c r="T170" s="14"/>
      <c r="U170" s="1"/>
      <c r="V170" s="1"/>
      <c r="W170" s="1"/>
      <c r="X170" s="1"/>
      <c r="Y170" s="1"/>
      <c r="Z170" s="1"/>
      <c r="AA170" s="1"/>
      <c r="AB170" s="1"/>
      <c r="AC170" s="1"/>
      <c r="AD170" s="1"/>
      <c r="AE170" s="13"/>
    </row>
    <row r="171" spans="2:31" ht="15.75">
      <c r="B171" s="103"/>
      <c r="C171" s="387"/>
      <c r="D171" s="532" t="str">
        <f>IF(AND(AB147="OUI",AB162&gt;AB161,AB162&gt;AB160),"* Le cas échéant, l’aide perçue au titre de l’Art. 3-15 ou 3-16, si elle a déjà été demandée, vient en diminution de la présente aide complémentaire au titre de l'Art. 3-17 ou 3-18 du décret 2021-79 du 28 Janvier 2021","")</f>
        <v/>
      </c>
      <c r="E171" s="532"/>
      <c r="F171" s="532"/>
      <c r="G171" s="532"/>
      <c r="H171" s="532"/>
      <c r="I171" s="532"/>
      <c r="J171" s="532"/>
      <c r="K171" s="532"/>
      <c r="L171" s="532"/>
      <c r="M171" s="532"/>
      <c r="N171" s="532"/>
      <c r="O171" s="532"/>
      <c r="P171" s="176"/>
      <c r="Q171" s="176"/>
      <c r="T171" s="14"/>
      <c r="U171" s="1"/>
      <c r="V171" s="1"/>
      <c r="W171" s="1"/>
      <c r="X171" s="1"/>
      <c r="Y171" s="1"/>
      <c r="Z171" s="1"/>
      <c r="AA171" s="1"/>
      <c r="AB171" s="1"/>
      <c r="AC171" s="1"/>
      <c r="AD171" s="1"/>
      <c r="AE171" s="13"/>
    </row>
    <row r="172" spans="2:31" ht="31.5" customHeight="1">
      <c r="B172" s="5"/>
      <c r="C172" s="5"/>
      <c r="D172" s="389"/>
      <c r="E172" s="389"/>
      <c r="F172" s="389"/>
      <c r="G172" s="389"/>
      <c r="H172" s="389"/>
      <c r="I172" s="389"/>
      <c r="J172" s="389"/>
      <c r="K172" s="389"/>
      <c r="L172" s="389"/>
      <c r="M172" s="389"/>
      <c r="N172" s="389"/>
      <c r="O172" s="389"/>
      <c r="P172" s="177"/>
      <c r="Q172" s="177"/>
      <c r="T172" s="14"/>
      <c r="U172" s="1"/>
      <c r="V172" s="1"/>
      <c r="W172" s="1"/>
      <c r="X172" s="1"/>
      <c r="Y172" s="1"/>
      <c r="Z172" s="1"/>
      <c r="AA172" s="1"/>
      <c r="AB172" s="1"/>
      <c r="AC172" s="1"/>
      <c r="AD172" s="1"/>
      <c r="AE172" s="13"/>
    </row>
    <row r="173" spans="2:31">
      <c r="B173" s="5"/>
      <c r="C173" s="5"/>
      <c r="D173" s="389"/>
      <c r="E173" s="389"/>
      <c r="F173" s="389"/>
      <c r="G173" s="389"/>
      <c r="H173" s="389"/>
      <c r="I173" s="389"/>
      <c r="J173" s="389"/>
      <c r="K173" s="389"/>
      <c r="L173" s="389"/>
      <c r="M173" s="389"/>
      <c r="N173" s="389"/>
      <c r="O173" s="389"/>
      <c r="P173" s="177"/>
      <c r="Q173" s="177"/>
      <c r="T173" s="14"/>
      <c r="U173" s="1"/>
      <c r="V173" s="1"/>
      <c r="W173" s="1"/>
      <c r="X173" s="1"/>
      <c r="Y173" s="1"/>
      <c r="Z173" s="1"/>
      <c r="AA173" s="1"/>
      <c r="AB173" s="1"/>
      <c r="AC173" s="1"/>
      <c r="AD173" s="1"/>
      <c r="AE173" s="13"/>
    </row>
    <row r="174" spans="2:31">
      <c r="B174" s="533">
        <v>2021</v>
      </c>
      <c r="C174" s="533"/>
      <c r="D174" s="533"/>
      <c r="E174" s="533"/>
      <c r="F174" s="533"/>
      <c r="G174" s="533"/>
      <c r="H174" s="533"/>
      <c r="I174" s="533"/>
      <c r="J174" s="533"/>
      <c r="K174" s="533"/>
      <c r="L174" s="533"/>
      <c r="M174" s="533"/>
      <c r="N174" s="533"/>
      <c r="O174" s="533"/>
      <c r="P174" s="177"/>
      <c r="Q174" s="177"/>
      <c r="T174" s="14"/>
      <c r="U174" s="1"/>
      <c r="V174" s="1"/>
      <c r="W174" s="1"/>
      <c r="X174" s="1"/>
      <c r="Y174" s="1"/>
      <c r="Z174" s="1"/>
      <c r="AA174" s="1"/>
      <c r="AB174" s="1"/>
      <c r="AC174" s="1"/>
      <c r="AD174" s="1"/>
      <c r="AE174" s="13"/>
    </row>
    <row r="175" spans="2:31" ht="15.75" thickBot="1">
      <c r="B175" s="534"/>
      <c r="C175" s="534"/>
      <c r="D175" s="534"/>
      <c r="E175" s="534"/>
      <c r="F175" s="534"/>
      <c r="G175" s="534"/>
      <c r="H175" s="534"/>
      <c r="I175" s="534"/>
      <c r="J175" s="534"/>
      <c r="K175" s="534"/>
      <c r="L175" s="534"/>
      <c r="M175" s="534"/>
      <c r="N175" s="534"/>
      <c r="O175" s="534"/>
      <c r="P175" s="177"/>
      <c r="Q175" s="177"/>
      <c r="T175" s="16"/>
      <c r="U175" s="11"/>
      <c r="V175" s="11"/>
      <c r="W175" s="11"/>
      <c r="X175" s="11"/>
      <c r="Y175" s="11"/>
      <c r="Z175" s="11"/>
      <c r="AA175" s="11"/>
      <c r="AB175" s="11"/>
      <c r="AC175" s="11"/>
      <c r="AD175" s="11"/>
      <c r="AE175" s="12"/>
    </row>
    <row r="176" spans="2:31">
      <c r="D176" s="177"/>
      <c r="E176" s="177"/>
      <c r="F176" s="177"/>
      <c r="G176" s="177"/>
      <c r="H176" s="177"/>
      <c r="I176" s="177"/>
      <c r="J176" s="177"/>
      <c r="K176" s="177"/>
      <c r="L176" s="177"/>
      <c r="M176" s="177"/>
      <c r="N176" s="177"/>
      <c r="O176" s="177"/>
      <c r="P176" s="175"/>
      <c r="Q176" s="175"/>
      <c r="T176" s="14"/>
      <c r="U176" s="1"/>
      <c r="V176" s="1"/>
      <c r="W176" s="1"/>
      <c r="X176" s="1"/>
      <c r="Y176" s="1"/>
      <c r="Z176" s="1"/>
      <c r="AA176" s="1"/>
      <c r="AB176" s="1"/>
      <c r="AC176" s="1"/>
      <c r="AD176" s="1"/>
      <c r="AE176" s="13"/>
    </row>
    <row r="177" spans="2:31">
      <c r="D177" s="177"/>
      <c r="E177" s="177"/>
      <c r="F177" s="177"/>
      <c r="G177" s="177"/>
      <c r="H177" s="177"/>
      <c r="I177" s="177"/>
      <c r="J177" s="177"/>
      <c r="K177" s="177"/>
      <c r="L177" s="177"/>
      <c r="M177" s="177"/>
      <c r="N177" s="177"/>
      <c r="O177" s="177"/>
      <c r="P177" s="175"/>
      <c r="Q177" s="175"/>
      <c r="T177" s="25"/>
      <c r="U177" s="490" t="s">
        <v>20</v>
      </c>
      <c r="V177" s="490"/>
      <c r="W177" s="490"/>
      <c r="X177" s="1"/>
      <c r="Y177" s="390" t="s">
        <v>6</v>
      </c>
      <c r="Z177" s="390"/>
      <c r="AA177" s="390"/>
      <c r="AB177" s="390" t="s">
        <v>23</v>
      </c>
      <c r="AC177" s="390"/>
      <c r="AD177" s="390"/>
      <c r="AE177" s="26" t="s">
        <v>24</v>
      </c>
    </row>
    <row r="178" spans="2:31" ht="16.5" thickBot="1">
      <c r="B178" s="220"/>
      <c r="C178" s="488" t="s">
        <v>119</v>
      </c>
      <c r="D178" s="488"/>
      <c r="E178" s="488"/>
      <c r="F178" s="488"/>
      <c r="G178" s="488"/>
      <c r="H178" s="488"/>
      <c r="I178" s="221"/>
      <c r="J178" s="221"/>
      <c r="K178" s="221"/>
      <c r="L178" s="221"/>
      <c r="M178" s="221"/>
      <c r="N178" s="221"/>
      <c r="O178" s="221"/>
      <c r="T178" s="25"/>
      <c r="U178" s="390"/>
      <c r="V178" s="390"/>
      <c r="W178" s="390"/>
      <c r="X178" s="1"/>
      <c r="Y178" s="390"/>
      <c r="Z178" s="390"/>
      <c r="AA178" s="390"/>
      <c r="AB178" s="390"/>
      <c r="AC178" s="390"/>
      <c r="AD178" s="390"/>
      <c r="AE178" s="26"/>
    </row>
    <row r="179" spans="2:31" ht="15" customHeight="1">
      <c r="B179" s="63"/>
      <c r="C179" s="24"/>
      <c r="D179" s="24"/>
      <c r="E179" s="24"/>
      <c r="F179" s="24"/>
      <c r="G179" s="24"/>
      <c r="H179" s="63"/>
      <c r="I179" s="1"/>
      <c r="J179" s="1"/>
      <c r="K179" s="1"/>
      <c r="L179" s="1"/>
      <c r="M179" s="1"/>
      <c r="N179" s="1"/>
      <c r="O179" s="1"/>
      <c r="T179" s="491" t="s">
        <v>121</v>
      </c>
      <c r="U179" s="490"/>
      <c r="V179" s="490"/>
      <c r="W179" s="490"/>
      <c r="X179" s="1"/>
      <c r="Y179" s="7">
        <f>'Mon Entreprise'!I122</f>
        <v>0</v>
      </c>
      <c r="Z179" s="133"/>
      <c r="AA179" s="21"/>
      <c r="AB179" s="7">
        <f>IF('Mon Entreprise'!I122-'Mon Entreprise'!M122&lt;0,0,'Mon Entreprise'!I122-'Mon Entreprise'!M122)</f>
        <v>0</v>
      </c>
      <c r="AC179" s="13"/>
      <c r="AD179" s="1"/>
      <c r="AE179" s="27">
        <f>IFERROR(1-'Mon Entreprise'!M122/'Mon Entreprise'!I122,0)</f>
        <v>0</v>
      </c>
    </row>
    <row r="180" spans="2:31" ht="15" customHeight="1">
      <c r="B180" s="103"/>
      <c r="C180" s="489" t="s">
        <v>122</v>
      </c>
      <c r="D180" s="489"/>
      <c r="E180" s="489"/>
      <c r="F180" s="489"/>
      <c r="G180" s="489"/>
      <c r="H180" s="489"/>
      <c r="I180" s="489"/>
      <c r="J180" s="489"/>
      <c r="K180" s="489"/>
      <c r="L180" s="489"/>
      <c r="M180" s="489"/>
      <c r="N180" s="489"/>
      <c r="O180" s="489"/>
      <c r="P180" s="1"/>
      <c r="T180" s="491" t="s">
        <v>25</v>
      </c>
      <c r="U180" s="490"/>
      <c r="V180" s="490"/>
      <c r="W180" s="490"/>
      <c r="X180" s="1"/>
      <c r="Y180" s="7">
        <f>'Mon Entreprise'!I98</f>
        <v>0</v>
      </c>
      <c r="Z180" s="133"/>
      <c r="AA180" s="21"/>
      <c r="AB180" s="7">
        <f>IF('Mon Entreprise'!I98-'Mon Entreprise'!M122&lt;0,0,'Mon Entreprise'!I98-'Mon Entreprise'!M122)</f>
        <v>0</v>
      </c>
      <c r="AC180" s="36"/>
      <c r="AD180" s="1"/>
      <c r="AE180" s="27">
        <f>IFERROR(1-'Mon Entreprise'!M122/'Mon Entreprise'!I98,0)</f>
        <v>0</v>
      </c>
    </row>
    <row r="181" spans="2:31" ht="15.75" customHeight="1">
      <c r="B181" s="103"/>
      <c r="C181" s="387"/>
      <c r="D181" s="60" t="s">
        <v>123</v>
      </c>
      <c r="E181" s="387"/>
      <c r="F181" s="387"/>
      <c r="G181" s="387"/>
      <c r="H181" s="387"/>
      <c r="I181" s="387"/>
      <c r="J181" s="387"/>
      <c r="K181" s="387"/>
      <c r="L181" s="387"/>
      <c r="M181" s="387"/>
      <c r="N181" s="387"/>
      <c r="O181" s="387"/>
      <c r="P181" s="1"/>
      <c r="T181" s="501" t="s">
        <v>22</v>
      </c>
      <c r="U181" s="502"/>
      <c r="V181" s="502"/>
      <c r="W181" s="502"/>
      <c r="X181" s="139"/>
      <c r="Y181" s="140" t="str">
        <f>IF('Mon Entreprise'!I162="","NC",'Mon Entreprise'!I162)</f>
        <v>NC</v>
      </c>
      <c r="Z181" s="191"/>
      <c r="AA181" s="192"/>
      <c r="AB181" s="143" t="str">
        <f>IFERROR(IF('Mon Entreprise'!I162-'Mon Entreprise'!M122&lt;0,0,'Mon Entreprise'!I162-'Mon Entreprise'!M122),"NC")</f>
        <v>NC</v>
      </c>
      <c r="AC181" s="193"/>
      <c r="AD181" s="139"/>
      <c r="AE181" s="146" t="str">
        <f>IFERROR(1-'Mon Entreprise'!M122/'Mon Entreprise'!I162,"NC")</f>
        <v>NC</v>
      </c>
    </row>
    <row r="182" spans="2:31" ht="16.5" hidden="1" thickBot="1">
      <c r="B182" s="103"/>
      <c r="C182" s="387"/>
      <c r="D182" s="60"/>
      <c r="E182" s="387"/>
      <c r="F182" s="387"/>
      <c r="G182" s="387"/>
      <c r="H182" s="387"/>
      <c r="I182" s="387"/>
      <c r="J182" s="387"/>
      <c r="K182" s="387"/>
      <c r="L182" s="387"/>
      <c r="M182" s="387"/>
      <c r="N182" s="387"/>
      <c r="O182" s="387"/>
      <c r="P182" s="1"/>
      <c r="T182" s="14"/>
      <c r="U182" s="1"/>
      <c r="V182" s="1"/>
      <c r="W182" s="1"/>
      <c r="X182" s="1"/>
      <c r="Y182" s="1"/>
      <c r="Z182" s="1"/>
      <c r="AA182" s="1"/>
      <c r="AB182" s="1"/>
      <c r="AC182" s="1"/>
      <c r="AD182" s="1"/>
      <c r="AE182" s="13"/>
    </row>
    <row r="183" spans="2:31" ht="15.75" hidden="1">
      <c r="B183" s="103"/>
      <c r="C183" s="387"/>
      <c r="D183" s="492"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93"/>
      <c r="F183" s="493"/>
      <c r="G183" s="493"/>
      <c r="H183" s="493"/>
      <c r="I183" s="493"/>
      <c r="J183" s="493"/>
      <c r="K183" s="493"/>
      <c r="L183" s="493"/>
      <c r="M183" s="493"/>
      <c r="N183" s="493"/>
      <c r="O183" s="494"/>
      <c r="P183" s="1"/>
      <c r="T183" s="14"/>
      <c r="AC183" s="1"/>
      <c r="AD183" s="1"/>
      <c r="AE183" s="13"/>
    </row>
    <row r="184" spans="2:31" ht="15.75" hidden="1" customHeight="1">
      <c r="B184" s="103"/>
      <c r="C184" s="387"/>
      <c r="D184" s="495"/>
      <c r="E184" s="496"/>
      <c r="F184" s="496"/>
      <c r="G184" s="496"/>
      <c r="H184" s="496"/>
      <c r="I184" s="496"/>
      <c r="J184" s="496"/>
      <c r="K184" s="496"/>
      <c r="L184" s="496"/>
      <c r="M184" s="496"/>
      <c r="N184" s="496"/>
      <c r="O184" s="497"/>
      <c r="P184" s="1"/>
      <c r="T184" s="14"/>
      <c r="AC184" s="1"/>
      <c r="AD184" s="1"/>
      <c r="AE184" s="13"/>
    </row>
    <row r="185" spans="2:31" ht="15.75" hidden="1" customHeight="1">
      <c r="B185" s="103"/>
      <c r="C185" s="387"/>
      <c r="D185" s="495"/>
      <c r="E185" s="496"/>
      <c r="F185" s="496"/>
      <c r="G185" s="496"/>
      <c r="H185" s="496"/>
      <c r="I185" s="496"/>
      <c r="J185" s="496"/>
      <c r="K185" s="496"/>
      <c r="L185" s="496"/>
      <c r="M185" s="496"/>
      <c r="N185" s="496"/>
      <c r="O185" s="497"/>
      <c r="P185" s="1"/>
      <c r="T185" s="14"/>
      <c r="AC185" s="1"/>
      <c r="AD185" s="1"/>
      <c r="AE185" s="13"/>
    </row>
    <row r="186" spans="2:31" ht="15.75" hidden="1" customHeight="1">
      <c r="B186" s="103"/>
      <c r="C186" s="387"/>
      <c r="D186" s="495"/>
      <c r="E186" s="496"/>
      <c r="F186" s="496"/>
      <c r="G186" s="496"/>
      <c r="H186" s="496"/>
      <c r="I186" s="496"/>
      <c r="J186" s="496"/>
      <c r="K186" s="496"/>
      <c r="L186" s="496"/>
      <c r="M186" s="496"/>
      <c r="N186" s="496"/>
      <c r="O186" s="497"/>
      <c r="P186" s="1"/>
      <c r="T186" s="14"/>
      <c r="U186" s="1"/>
      <c r="V186" s="1"/>
      <c r="W186" s="1"/>
      <c r="X186" s="1"/>
      <c r="Y186" s="1"/>
      <c r="Z186" s="1"/>
      <c r="AA186" s="1"/>
      <c r="AB186" s="1"/>
      <c r="AC186" s="1"/>
      <c r="AD186" s="1"/>
      <c r="AE186" s="13"/>
    </row>
    <row r="187" spans="2:31" ht="15.75" hidden="1" customHeight="1" thickBot="1">
      <c r="B187" s="103"/>
      <c r="C187" s="387"/>
      <c r="D187" s="498"/>
      <c r="E187" s="499"/>
      <c r="F187" s="499"/>
      <c r="G187" s="499"/>
      <c r="H187" s="499"/>
      <c r="I187" s="499"/>
      <c r="J187" s="499"/>
      <c r="K187" s="499"/>
      <c r="L187" s="499"/>
      <c r="M187" s="499"/>
      <c r="N187" s="499"/>
      <c r="O187" s="500"/>
      <c r="P187" s="1"/>
      <c r="T187" s="14"/>
      <c r="U187" s="506" t="s">
        <v>72</v>
      </c>
      <c r="V187" s="506"/>
      <c r="W187" s="506"/>
      <c r="X187" s="506"/>
      <c r="Y187" s="506"/>
      <c r="Z187" s="1"/>
      <c r="AA187" s="14"/>
      <c r="AB187" s="385" t="str">
        <f>IF('Mon Entreprise'!K8&lt;=Annexes!Q26,"Oui","Non")</f>
        <v>Oui</v>
      </c>
      <c r="AC187" s="1"/>
      <c r="AD187" s="1"/>
      <c r="AE187" s="13"/>
    </row>
    <row r="188" spans="2:31" ht="16.5" hidden="1" customHeight="1">
      <c r="B188" s="103"/>
      <c r="C188" s="387"/>
      <c r="D188" s="60"/>
      <c r="E188" s="387"/>
      <c r="F188" s="387"/>
      <c r="G188" s="387"/>
      <c r="H188" s="387"/>
      <c r="I188" s="387"/>
      <c r="J188" s="387"/>
      <c r="K188" s="387"/>
      <c r="L188" s="387"/>
      <c r="M188" s="387"/>
      <c r="N188" s="387"/>
      <c r="O188" s="387"/>
      <c r="P188" s="1"/>
      <c r="T188" s="14"/>
      <c r="U188" s="386"/>
      <c r="V188" s="506" t="s">
        <v>393</v>
      </c>
      <c r="W188" s="506"/>
      <c r="X188" s="506"/>
      <c r="Y188" s="506"/>
      <c r="Z188" s="1"/>
      <c r="AA188" s="14"/>
      <c r="AB188" s="385">
        <f>IF('Mon Entreprise'!K8&gt;=Annexes!O20,IF(Y179&gt;=Y181,Y179,Y181),IF(Y179&gt;=Y180,Y179,Y180))</f>
        <v>0</v>
      </c>
      <c r="AC188" s="1"/>
      <c r="AD188" s="1"/>
      <c r="AE188" s="13"/>
    </row>
    <row r="189" spans="2:31" ht="15.75">
      <c r="B189" s="103"/>
      <c r="C189" s="78"/>
      <c r="D189" s="78"/>
      <c r="E189" s="78"/>
      <c r="F189" s="78"/>
      <c r="G189" s="78"/>
      <c r="H189" s="78"/>
      <c r="I189" s="78"/>
      <c r="J189" s="78"/>
      <c r="K189" s="78"/>
      <c r="L189" s="78"/>
      <c r="M189" s="78"/>
      <c r="N189" s="78"/>
      <c r="O189" s="78"/>
      <c r="P189" s="1"/>
      <c r="T189" s="14"/>
      <c r="U189" s="506" t="s">
        <v>84</v>
      </c>
      <c r="V189" s="506"/>
      <c r="W189" s="506"/>
      <c r="X189" s="506"/>
      <c r="Y189" s="506"/>
      <c r="Z189" s="1"/>
      <c r="AA189" s="14"/>
      <c r="AB189" s="381">
        <f>IF('Mon Entreprise'!K8&gt;=Annexes!O20,IF(AB179&gt;=AB181,AB179,AB181),IF(AB179&gt;=AB180,AB179,AB180))</f>
        <v>0</v>
      </c>
      <c r="AC189" s="1"/>
      <c r="AD189" s="1"/>
      <c r="AE189" s="13"/>
    </row>
    <row r="190" spans="2:31" ht="15.75">
      <c r="B190" s="103"/>
      <c r="C190" s="387"/>
      <c r="D190" s="60"/>
      <c r="E190" s="387"/>
      <c r="F190" s="387"/>
      <c r="G190" s="387"/>
      <c r="H190" s="387"/>
      <c r="I190" s="387"/>
      <c r="J190" s="387"/>
      <c r="K190" s="387"/>
      <c r="L190" s="387"/>
      <c r="M190" s="387"/>
      <c r="N190" s="387"/>
      <c r="O190" s="387"/>
      <c r="P190" s="1"/>
      <c r="T190" s="14"/>
      <c r="U190" s="506" t="s">
        <v>85</v>
      </c>
      <c r="V190" s="506"/>
      <c r="W190" s="506"/>
      <c r="X190" s="506"/>
      <c r="Y190" s="506"/>
      <c r="Z190" s="1"/>
      <c r="AA190" s="14"/>
      <c r="AB190" s="19">
        <f>IF('Mon Entreprise'!K8&gt;=Annexes!O20,IF(AB179&gt;=AB181,AE179,AE181),IF(AB179&gt;=AB180,AE179,AE180))</f>
        <v>0</v>
      </c>
      <c r="AC190" s="1"/>
      <c r="AD190" s="1"/>
      <c r="AE190" s="13"/>
    </row>
    <row r="191" spans="2:31" ht="15.75">
      <c r="B191" s="103"/>
      <c r="C191" s="387" t="s">
        <v>120</v>
      </c>
      <c r="D191" s="60"/>
      <c r="E191" s="387"/>
      <c r="F191" s="387"/>
      <c r="G191" s="387"/>
      <c r="H191" s="387"/>
      <c r="I191" s="387"/>
      <c r="J191" s="387"/>
      <c r="K191" s="387"/>
      <c r="L191" s="387"/>
      <c r="M191" s="387"/>
      <c r="N191" s="387"/>
      <c r="O191" s="387"/>
      <c r="P191" s="1"/>
      <c r="T191" s="14"/>
      <c r="U191" s="1"/>
      <c r="V191" s="1"/>
      <c r="W191" s="1"/>
      <c r="X191" s="1"/>
      <c r="Y191" s="1"/>
      <c r="Z191" s="1"/>
      <c r="AA191" s="1"/>
      <c r="AB191" s="1"/>
      <c r="AC191" s="1"/>
      <c r="AD191" s="1"/>
      <c r="AE191" s="13"/>
    </row>
    <row r="192" spans="2:31" ht="15.75">
      <c r="B192" s="168"/>
      <c r="C192" s="387"/>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387"/>
      <c r="F192" s="387"/>
      <c r="G192" s="387"/>
      <c r="H192" s="387"/>
      <c r="I192" s="387"/>
      <c r="J192" s="387"/>
      <c r="K192" s="387"/>
      <c r="L192" s="387"/>
      <c r="M192" s="387"/>
      <c r="N192" s="387"/>
      <c r="O192" s="387"/>
      <c r="P192" s="1"/>
      <c r="T192" s="14"/>
      <c r="U192" s="1"/>
      <c r="V192" s="1"/>
      <c r="W192" s="1"/>
      <c r="X192" s="1"/>
      <c r="Y192" s="1"/>
      <c r="Z192" s="1"/>
      <c r="AA192" s="1"/>
      <c r="AB192" s="1"/>
      <c r="AC192" s="1"/>
      <c r="AD192" s="1"/>
      <c r="AE192" s="13"/>
    </row>
    <row r="193" spans="1:31" ht="16.5" thickBot="1">
      <c r="B193" s="103"/>
      <c r="C193" s="387"/>
      <c r="D193" s="60"/>
      <c r="E193" s="387"/>
      <c r="F193" s="387"/>
      <c r="G193" s="387"/>
      <c r="H193" s="387"/>
      <c r="I193" s="387"/>
      <c r="J193" s="387"/>
      <c r="K193" s="387"/>
      <c r="L193" s="387"/>
      <c r="M193" s="387"/>
      <c r="N193" s="387"/>
      <c r="O193" s="387"/>
      <c r="P193" s="1"/>
      <c r="T193" s="14"/>
      <c r="U193" s="1"/>
      <c r="V193" s="1"/>
      <c r="W193" s="1"/>
      <c r="X193" s="1"/>
      <c r="Y193" s="1"/>
      <c r="Z193" s="1"/>
      <c r="AA193" s="1"/>
      <c r="AB193" s="1"/>
      <c r="AC193" s="1"/>
      <c r="AD193" s="1"/>
      <c r="AE193" s="13"/>
    </row>
    <row r="194" spans="1:31" ht="15.75">
      <c r="B194" s="168"/>
      <c r="C194" s="387"/>
      <c r="D194" s="508"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509"/>
      <c r="F194" s="509"/>
      <c r="G194" s="509"/>
      <c r="H194" s="509"/>
      <c r="I194" s="509"/>
      <c r="J194" s="509"/>
      <c r="K194" s="509"/>
      <c r="L194" s="509"/>
      <c r="M194" s="509"/>
      <c r="N194" s="509"/>
      <c r="O194" s="510"/>
      <c r="P194" s="1"/>
      <c r="T194" s="14"/>
      <c r="U194" s="1"/>
      <c r="V194" s="1"/>
      <c r="W194" s="1"/>
      <c r="X194" s="1"/>
      <c r="Y194" s="1"/>
      <c r="Z194" s="1"/>
      <c r="AA194" s="1"/>
      <c r="AB194" s="1"/>
      <c r="AC194" s="1"/>
      <c r="AD194" s="1"/>
      <c r="AE194" s="13"/>
    </row>
    <row r="195" spans="1:31" ht="15.75" customHeight="1">
      <c r="B195" s="168"/>
      <c r="C195" s="387"/>
      <c r="D195" s="511"/>
      <c r="E195" s="512"/>
      <c r="F195" s="512"/>
      <c r="G195" s="512"/>
      <c r="H195" s="512"/>
      <c r="I195" s="512"/>
      <c r="J195" s="512"/>
      <c r="K195" s="512"/>
      <c r="L195" s="512"/>
      <c r="M195" s="512"/>
      <c r="N195" s="512"/>
      <c r="O195" s="513"/>
      <c r="P195" s="1"/>
      <c r="T195" s="14"/>
      <c r="U195" s="1"/>
      <c r="V195" s="1"/>
      <c r="W195" s="1"/>
      <c r="X195" s="1"/>
      <c r="Y195" s="1"/>
      <c r="Z195" s="1"/>
      <c r="AA195" s="1"/>
      <c r="AB195" s="1"/>
      <c r="AC195" s="1"/>
      <c r="AD195" s="1"/>
      <c r="AE195" s="13"/>
    </row>
    <row r="196" spans="1:31" ht="15.75" customHeight="1">
      <c r="B196" s="103"/>
      <c r="C196" s="387"/>
      <c r="D196" s="511"/>
      <c r="E196" s="512"/>
      <c r="F196" s="512"/>
      <c r="G196" s="512"/>
      <c r="H196" s="512"/>
      <c r="I196" s="512"/>
      <c r="J196" s="512"/>
      <c r="K196" s="512"/>
      <c r="L196" s="512"/>
      <c r="M196" s="512"/>
      <c r="N196" s="512"/>
      <c r="O196" s="513"/>
      <c r="P196" s="1"/>
      <c r="T196" s="518" t="s">
        <v>4</v>
      </c>
      <c r="U196" s="519"/>
      <c r="V196" s="519"/>
      <c r="W196" s="519"/>
      <c r="X196" s="519"/>
      <c r="Y196" s="519"/>
      <c r="Z196" s="139"/>
      <c r="AA196" s="145"/>
      <c r="AB196" s="194">
        <f>IFERROR(IF('Mon Entreprise'!K8&gt;=Annexes!Q18,0,1-'Mon Entreprise'!M118/2/AB188),0)</f>
        <v>0</v>
      </c>
      <c r="AC196" s="1"/>
      <c r="AD196" s="1"/>
      <c r="AE196" s="13"/>
    </row>
    <row r="197" spans="1:31" ht="15.75" customHeight="1" thickBot="1">
      <c r="B197" s="103"/>
      <c r="C197" s="387"/>
      <c r="D197" s="514"/>
      <c r="E197" s="515"/>
      <c r="F197" s="515"/>
      <c r="G197" s="515"/>
      <c r="H197" s="515"/>
      <c r="I197" s="515"/>
      <c r="J197" s="515"/>
      <c r="K197" s="515"/>
      <c r="L197" s="515"/>
      <c r="M197" s="515"/>
      <c r="N197" s="515"/>
      <c r="O197" s="516"/>
      <c r="P197" s="1"/>
      <c r="T197" s="110"/>
      <c r="U197" s="520" t="s">
        <v>102</v>
      </c>
      <c r="V197" s="520"/>
      <c r="W197" s="520"/>
      <c r="X197" s="520"/>
      <c r="Y197" s="520"/>
      <c r="Z197" s="139"/>
      <c r="AA197" s="145"/>
      <c r="AB197" s="194">
        <f>IFERROR(IF('Mon Entreprise'!K8&gt;Annexes!Q26,0,1-'Mon Entreprise'!M114/AB188),0)</f>
        <v>0</v>
      </c>
      <c r="AC197" s="1"/>
      <c r="AD197" s="1"/>
      <c r="AE197" s="13"/>
    </row>
    <row r="198" spans="1:31" ht="16.5" customHeight="1">
      <c r="B198" s="103"/>
      <c r="C198" s="169"/>
      <c r="D198" s="170"/>
      <c r="E198" s="170"/>
      <c r="F198" s="170"/>
      <c r="G198" s="170"/>
      <c r="H198" s="170"/>
      <c r="I198" s="170"/>
      <c r="J198" s="170"/>
      <c r="K198" s="170"/>
      <c r="L198" s="170"/>
      <c r="M198" s="170"/>
      <c r="N198" s="170"/>
      <c r="O198" s="170"/>
      <c r="P198" s="1"/>
      <c r="T198" s="110"/>
      <c r="U198" s="520" t="s">
        <v>109</v>
      </c>
      <c r="V198" s="520"/>
      <c r="W198" s="520"/>
      <c r="X198" s="520"/>
      <c r="Y198" s="520"/>
      <c r="Z198" s="139"/>
      <c r="AA198" s="145"/>
      <c r="AB198" s="194">
        <f>IFERROR(IF(Annexes!O27&gt;'Mon Entreprise'!K8,1-'Mon Entreprise'!M98/'Mon Entreprise'!I98,0),0)</f>
        <v>0</v>
      </c>
      <c r="AC198" s="1"/>
      <c r="AD198" s="1"/>
      <c r="AE198" s="13"/>
    </row>
    <row r="199" spans="1:31" ht="16.5" customHeight="1">
      <c r="B199" s="103"/>
      <c r="C199" s="387"/>
      <c r="D199" s="306"/>
      <c r="E199" s="306"/>
      <c r="F199" s="306"/>
      <c r="G199" s="306"/>
      <c r="H199" s="306"/>
      <c r="I199" s="306"/>
      <c r="J199" s="306"/>
      <c r="K199" s="306"/>
      <c r="L199" s="306"/>
      <c r="M199" s="306"/>
      <c r="N199" s="306"/>
      <c r="O199" s="306"/>
      <c r="P199" s="1"/>
      <c r="T199" s="14"/>
      <c r="U199" s="521" t="s">
        <v>8</v>
      </c>
      <c r="V199" s="521"/>
      <c r="W199" s="521"/>
      <c r="X199" s="521"/>
      <c r="Y199" s="521"/>
      <c r="Z199" s="1"/>
      <c r="AA199" s="14"/>
      <c r="AB199" s="381" t="str">
        <f>IF((AND(Annexes!F5&gt;1,Annexes!F5&lt;=Annexes!H6)),"OUI","NON")</f>
        <v>NON</v>
      </c>
      <c r="AC199" s="1"/>
      <c r="AD199" s="1"/>
      <c r="AE199" s="13"/>
    </row>
    <row r="200" spans="1:31" ht="16.5" customHeight="1">
      <c r="B200" s="103"/>
      <c r="C200" s="505" t="s">
        <v>112</v>
      </c>
      <c r="D200" s="505"/>
      <c r="E200" s="505"/>
      <c r="F200" s="505"/>
      <c r="G200" s="505"/>
      <c r="H200" s="505"/>
      <c r="I200" s="505"/>
      <c r="J200" s="505"/>
      <c r="K200" s="505"/>
      <c r="L200" s="505"/>
      <c r="M200" s="505"/>
      <c r="N200" s="505"/>
      <c r="O200" s="505"/>
      <c r="P200" s="1"/>
      <c r="T200" s="14"/>
      <c r="U200" s="383"/>
      <c r="V200" s="383"/>
      <c r="W200" s="383"/>
      <c r="X200" s="383"/>
      <c r="Y200" s="383" t="s">
        <v>9</v>
      </c>
      <c r="Z200" s="1"/>
      <c r="AA200" s="14"/>
      <c r="AB200" s="381" t="str">
        <f>IF(AND(Annexes!F7&gt;1,Annexes!F7&lt;=Annexes!H8),"OUI","NON")</f>
        <v>NON</v>
      </c>
      <c r="AC200" s="1"/>
      <c r="AD200" s="1"/>
      <c r="AE200" s="13"/>
    </row>
    <row r="201" spans="1:31" ht="16.5" customHeight="1">
      <c r="B201" s="103"/>
      <c r="C201" s="505"/>
      <c r="D201" s="505"/>
      <c r="E201" s="505"/>
      <c r="F201" s="505"/>
      <c r="G201" s="505"/>
      <c r="H201" s="505"/>
      <c r="I201" s="505"/>
      <c r="J201" s="505"/>
      <c r="K201" s="505"/>
      <c r="L201" s="505"/>
      <c r="M201" s="505"/>
      <c r="N201" s="505"/>
      <c r="O201" s="505"/>
      <c r="P201" s="1"/>
      <c r="T201" s="491" t="s">
        <v>305</v>
      </c>
      <c r="U201" s="490"/>
      <c r="V201" s="490"/>
      <c r="W201" s="490"/>
      <c r="X201" s="490"/>
      <c r="Y201" s="490"/>
      <c r="Z201" s="1"/>
      <c r="AA201" s="14"/>
      <c r="AB201" s="381" t="str">
        <f>IF(Annexes!M17=TRUE,"OUI","NON")</f>
        <v>NON</v>
      </c>
      <c r="AC201" s="1"/>
      <c r="AD201" s="1"/>
      <c r="AE201" s="13"/>
    </row>
    <row r="202" spans="1:31" ht="16.5" customHeight="1">
      <c r="B202" s="103"/>
      <c r="C202" s="505"/>
      <c r="D202" s="505"/>
      <c r="E202" s="505"/>
      <c r="F202" s="505"/>
      <c r="G202" s="505"/>
      <c r="H202" s="505"/>
      <c r="I202" s="505"/>
      <c r="J202" s="505"/>
      <c r="K202" s="505"/>
      <c r="L202" s="505"/>
      <c r="M202" s="505"/>
      <c r="N202" s="505"/>
      <c r="O202" s="505"/>
      <c r="P202" s="1"/>
      <c r="T202" s="14"/>
      <c r="U202" s="490" t="s">
        <v>12</v>
      </c>
      <c r="V202" s="490"/>
      <c r="W202" s="490"/>
      <c r="X202" s="490"/>
      <c r="Y202" s="490"/>
      <c r="Z202" s="1"/>
      <c r="AA202" s="14"/>
      <c r="AB202" s="381" t="b">
        <f>Annexes!M19</f>
        <v>0</v>
      </c>
      <c r="AC202" s="1"/>
      <c r="AD202" s="1"/>
      <c r="AE202" s="13"/>
    </row>
    <row r="203" spans="1:31" ht="16.5" customHeight="1">
      <c r="B203" s="103"/>
      <c r="C203" s="387"/>
      <c r="D203" s="306"/>
      <c r="E203" s="417"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417"/>
      <c r="G203" s="417"/>
      <c r="H203" s="417"/>
      <c r="I203" s="417"/>
      <c r="J203" s="417"/>
      <c r="K203" s="417"/>
      <c r="L203" s="417"/>
      <c r="M203" s="417"/>
      <c r="N203" s="417"/>
      <c r="O203" s="417"/>
      <c r="P203" s="1"/>
      <c r="T203" s="14"/>
      <c r="U203" s="525" t="s">
        <v>72</v>
      </c>
      <c r="V203" s="525"/>
      <c r="W203" s="525"/>
      <c r="X203" s="525"/>
      <c r="Y203" s="525"/>
      <c r="Z203" s="139"/>
      <c r="AA203" s="145"/>
      <c r="AB203" s="385" t="str">
        <f>IF('Mon Entreprise'!K8&lt;=Annexes!Q26,"Oui","Non")</f>
        <v>Oui</v>
      </c>
      <c r="AC203" s="139"/>
      <c r="AD203" s="1"/>
      <c r="AE203" s="13"/>
    </row>
    <row r="204" spans="1:31" ht="16.5" customHeight="1">
      <c r="B204" s="168"/>
      <c r="C204" s="387"/>
      <c r="D204" s="306"/>
      <c r="E204" s="417"/>
      <c r="F204" s="417"/>
      <c r="G204" s="417"/>
      <c r="H204" s="417"/>
      <c r="I204" s="417"/>
      <c r="J204" s="417"/>
      <c r="K204" s="417"/>
      <c r="L204" s="417"/>
      <c r="M204" s="417"/>
      <c r="N204" s="417"/>
      <c r="O204" s="417"/>
      <c r="P204" s="1"/>
      <c r="T204" s="14"/>
      <c r="U204" s="525" t="s">
        <v>84</v>
      </c>
      <c r="V204" s="525"/>
      <c r="W204" s="525"/>
      <c r="X204" s="525"/>
      <c r="Y204" s="525"/>
      <c r="Z204" s="139"/>
      <c r="AA204" s="145"/>
      <c r="AB204" s="385">
        <f>IF('Mon Entreprise'!K8&gt;=Annexes!O20,IF(AB179&gt;=AB181,AB179,AB181),IF(AB179&gt;=AB180,AB179,AB180))</f>
        <v>0</v>
      </c>
      <c r="AC204" s="139"/>
      <c r="AD204" s="1"/>
      <c r="AE204" s="13"/>
    </row>
    <row r="205" spans="1:31" ht="16.5" customHeight="1">
      <c r="A205" s="99"/>
      <c r="B205" s="103"/>
      <c r="C205" s="387"/>
      <c r="D205" s="523"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523"/>
      <c r="F205" s="523"/>
      <c r="G205" s="523"/>
      <c r="H205" s="523"/>
      <c r="I205" s="523"/>
      <c r="J205" s="523"/>
      <c r="K205" s="523"/>
      <c r="L205" s="523"/>
      <c r="M205" s="523"/>
      <c r="N205" s="523"/>
      <c r="O205" s="523"/>
      <c r="P205" s="1"/>
      <c r="T205" s="14"/>
      <c r="U205" s="525" t="s">
        <v>85</v>
      </c>
      <c r="V205" s="525"/>
      <c r="W205" s="525"/>
      <c r="X205" s="525"/>
      <c r="Y205" s="525"/>
      <c r="Z205" s="139"/>
      <c r="AA205" s="145"/>
      <c r="AB205" s="385">
        <f>IF('Mon Entreprise'!K8&gt;=Annexes!O20,IF(AB179&gt;=AB181,AE179,AE181),IF(AB179&gt;=AB180,AE179,AE180))</f>
        <v>0</v>
      </c>
      <c r="AC205" s="139"/>
      <c r="AD205" s="1"/>
      <c r="AE205" s="13"/>
    </row>
    <row r="206" spans="1:31" ht="16.5" customHeight="1">
      <c r="B206" s="103"/>
      <c r="C206" s="387"/>
      <c r="D206" s="215" t="str">
        <f>IF(OR(AB199="OUI",AB202=TRUE),"- Sans ticket modérateur",IF(AND(OR(AB201="OUI",AB200="OUI"),OR(AB196&gt;=0.8,AB197&gt;=0.8,AB198&gt;=0.1)),"- La Perte de référence est plafonnée à 80 %, soit "&amp;ROUND(AB208,0)&amp;" €","- Sans ticket modérateur"))</f>
        <v>- Sans ticket modérateur</v>
      </c>
      <c r="E206" s="377"/>
      <c r="F206" s="377"/>
      <c r="G206" s="377"/>
      <c r="H206" s="377"/>
      <c r="I206" s="377"/>
      <c r="J206" s="377"/>
      <c r="K206" s="377"/>
      <c r="L206" s="377"/>
      <c r="M206" s="377"/>
      <c r="N206" s="377"/>
      <c r="O206" s="377"/>
      <c r="P206" s="1"/>
      <c r="T206" s="14"/>
      <c r="U206" s="502" t="s">
        <v>74</v>
      </c>
      <c r="V206" s="502"/>
      <c r="W206" s="502"/>
      <c r="X206" s="502"/>
      <c r="Y206" s="502"/>
      <c r="Z206" s="139"/>
      <c r="AA206" s="145"/>
      <c r="AB206" s="385">
        <f>IF(OR(AB199="OUI",AB202=TRUE),1,IF(AND(OR(AB201="OUI",AB200="OUI"),OR(AB196&gt;=0.8,AB197&gt;=0.8,AB198&gt;=0.1)),0.8,1))</f>
        <v>1</v>
      </c>
      <c r="AC206" s="139"/>
      <c r="AD206" s="1"/>
      <c r="AE206" s="13"/>
    </row>
    <row r="207" spans="1:31" ht="16.5" customHeight="1" thickBot="1">
      <c r="B207" s="103"/>
      <c r="C207" s="387"/>
      <c r="D207" s="377"/>
      <c r="E207" s="377"/>
      <c r="F207" s="377"/>
      <c r="G207" s="377"/>
      <c r="H207" s="377"/>
      <c r="I207" s="377"/>
      <c r="J207" s="377"/>
      <c r="K207" s="377"/>
      <c r="L207" s="377"/>
      <c r="M207" s="377"/>
      <c r="N207" s="377"/>
      <c r="O207" s="377"/>
      <c r="P207" s="1"/>
      <c r="T207" s="14"/>
      <c r="U207" s="502" t="s">
        <v>80</v>
      </c>
      <c r="V207" s="502"/>
      <c r="W207" s="502"/>
      <c r="X207" s="502"/>
      <c r="Y207" s="502"/>
      <c r="Z207" s="139"/>
      <c r="AA207" s="145"/>
      <c r="AB207" s="385">
        <f>IF('Mon Entreprise'!K8&gt;=Annexes!O20,IF(AB179&gt;=AB181,Y179,Y181),IF(AB179&gt;=AB180,Y179,Y180))</f>
        <v>0</v>
      </c>
      <c r="AC207" s="139"/>
      <c r="AD207" s="1"/>
      <c r="AE207" s="13"/>
    </row>
    <row r="208" spans="1:31" ht="16.5" customHeight="1">
      <c r="B208" s="103"/>
      <c r="C208" s="387"/>
      <c r="D208" s="508"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509"/>
      <c r="F208" s="509"/>
      <c r="G208" s="509"/>
      <c r="H208" s="509"/>
      <c r="I208" s="509"/>
      <c r="J208" s="509"/>
      <c r="K208" s="509"/>
      <c r="L208" s="509"/>
      <c r="M208" s="509"/>
      <c r="N208" s="509"/>
      <c r="O208" s="510"/>
      <c r="P208" s="1"/>
      <c r="T208" s="14"/>
      <c r="U208" s="490" t="s">
        <v>104</v>
      </c>
      <c r="V208" s="490"/>
      <c r="W208" s="490"/>
      <c r="X208" s="490"/>
      <c r="Y208" s="490"/>
      <c r="Z208" s="1"/>
      <c r="AA208" s="14"/>
      <c r="AB208" s="381">
        <f>IF(AB206=1,AB204,IF(AB204*AB206&gt;1500,IF(AB204&gt;1500,AB204*AB206,"Impossible"),IF(AB204&lt;1500,AB204,1500)))</f>
        <v>0</v>
      </c>
      <c r="AC208" s="1"/>
      <c r="AD208" s="1"/>
      <c r="AE208" s="13"/>
    </row>
    <row r="209" spans="2:31" ht="16.5" customHeight="1">
      <c r="B209" s="173"/>
      <c r="C209" s="387"/>
      <c r="D209" s="511"/>
      <c r="E209" s="512"/>
      <c r="F209" s="512"/>
      <c r="G209" s="512"/>
      <c r="H209" s="512"/>
      <c r="I209" s="512"/>
      <c r="J209" s="512"/>
      <c r="K209" s="512"/>
      <c r="L209" s="512"/>
      <c r="M209" s="512"/>
      <c r="N209" s="512"/>
      <c r="O209" s="513"/>
      <c r="P209" s="1"/>
      <c r="T209" s="14"/>
      <c r="U209" s="381"/>
      <c r="V209" s="381"/>
      <c r="W209" s="381"/>
      <c r="X209" s="381"/>
      <c r="Y209" s="381"/>
      <c r="Z209" s="1"/>
      <c r="AA209" s="1"/>
      <c r="AB209" s="1"/>
      <c r="AC209" s="1"/>
      <c r="AD209" s="1"/>
      <c r="AE209" s="13"/>
    </row>
    <row r="210" spans="2:31" ht="16.5" customHeight="1">
      <c r="B210" s="103"/>
      <c r="C210" s="387"/>
      <c r="D210" s="511"/>
      <c r="E210" s="512"/>
      <c r="F210" s="512"/>
      <c r="G210" s="512"/>
      <c r="H210" s="512"/>
      <c r="I210" s="512"/>
      <c r="J210" s="512"/>
      <c r="K210" s="512"/>
      <c r="L210" s="512"/>
      <c r="M210" s="512"/>
      <c r="N210" s="512"/>
      <c r="O210" s="513"/>
      <c r="P210" s="1"/>
      <c r="T210" s="14"/>
      <c r="U210" s="490"/>
      <c r="V210" s="490"/>
      <c r="W210" s="490"/>
      <c r="X210" s="490"/>
      <c r="Y210" s="490"/>
      <c r="Z210" s="1"/>
      <c r="AA210" s="1"/>
      <c r="AB210" s="1"/>
      <c r="AC210" s="1"/>
      <c r="AD210" s="1"/>
      <c r="AE210" s="13"/>
    </row>
    <row r="211" spans="2:31" ht="16.5" customHeight="1" thickBot="1">
      <c r="B211" s="103"/>
      <c r="C211" s="387"/>
      <c r="D211" s="514"/>
      <c r="E211" s="515"/>
      <c r="F211" s="515"/>
      <c r="G211" s="515"/>
      <c r="H211" s="515"/>
      <c r="I211" s="515"/>
      <c r="J211" s="515"/>
      <c r="K211" s="515"/>
      <c r="L211" s="515"/>
      <c r="M211" s="515"/>
      <c r="N211" s="515"/>
      <c r="O211" s="516"/>
      <c r="P211" s="1"/>
      <c r="T211" s="14"/>
      <c r="U211" s="381"/>
      <c r="V211" s="381"/>
      <c r="W211" s="381"/>
      <c r="X211" s="381"/>
      <c r="Y211" s="381"/>
      <c r="Z211" s="1"/>
      <c r="AA211" s="1"/>
      <c r="AB211" s="1"/>
      <c r="AC211" s="1"/>
      <c r="AD211" s="1"/>
      <c r="AE211" s="13"/>
    </row>
    <row r="212" spans="2:31" ht="16.5" customHeight="1">
      <c r="B212" s="103"/>
      <c r="C212" s="169"/>
      <c r="D212" s="174"/>
      <c r="E212" s="174"/>
      <c r="F212" s="174"/>
      <c r="G212" s="174"/>
      <c r="H212" s="174"/>
      <c r="I212" s="174"/>
      <c r="J212" s="174"/>
      <c r="K212" s="174"/>
      <c r="L212" s="174"/>
      <c r="M212" s="174"/>
      <c r="N212" s="174"/>
      <c r="O212" s="174"/>
      <c r="P212" s="1"/>
      <c r="T212" s="14"/>
      <c r="U212" s="1"/>
      <c r="V212" s="1"/>
      <c r="W212" s="1"/>
      <c r="X212" s="1"/>
      <c r="Y212" s="1"/>
      <c r="Z212" s="1"/>
      <c r="AA212" s="1"/>
      <c r="AB212" s="1"/>
      <c r="AC212" s="1"/>
      <c r="AD212" s="1"/>
      <c r="AE212" s="13"/>
    </row>
    <row r="213" spans="2:31" ht="16.5" customHeight="1">
      <c r="B213" s="103"/>
      <c r="C213" s="387"/>
      <c r="D213" s="377"/>
      <c r="E213" s="377"/>
      <c r="F213" s="377"/>
      <c r="G213" s="377"/>
      <c r="H213" s="377"/>
      <c r="I213" s="377"/>
      <c r="J213" s="377"/>
      <c r="K213" s="377"/>
      <c r="L213" s="377"/>
      <c r="M213" s="377"/>
      <c r="N213" s="377"/>
      <c r="O213" s="377"/>
      <c r="P213" s="1"/>
      <c r="T213" s="14"/>
      <c r="U213" s="1"/>
      <c r="V213" s="1"/>
      <c r="W213" s="1"/>
      <c r="X213" s="1"/>
      <c r="Y213" s="1"/>
      <c r="Z213" s="1"/>
      <c r="AA213" s="1"/>
      <c r="AB213" s="1"/>
      <c r="AC213" s="1"/>
      <c r="AD213" s="1"/>
      <c r="AE213" s="13"/>
    </row>
    <row r="214" spans="2:31" ht="16.5" customHeight="1">
      <c r="B214" s="103"/>
      <c r="C214" s="529" t="s">
        <v>304</v>
      </c>
      <c r="D214" s="529"/>
      <c r="E214" s="529"/>
      <c r="F214" s="529"/>
      <c r="G214" s="529"/>
      <c r="H214" s="529"/>
      <c r="I214" s="529"/>
      <c r="J214" s="529"/>
      <c r="K214" s="529"/>
      <c r="L214" s="529"/>
      <c r="M214" s="529"/>
      <c r="N214" s="529"/>
      <c r="O214" s="529"/>
      <c r="P214" s="1"/>
      <c r="T214" s="14"/>
      <c r="U214" s="502" t="s">
        <v>82</v>
      </c>
      <c r="V214" s="502"/>
      <c r="W214" s="502"/>
      <c r="X214" s="502"/>
      <c r="Y214" s="502"/>
      <c r="Z214" s="68"/>
      <c r="AA214" s="1"/>
      <c r="AB214" s="1">
        <f>IFERROR(IF(AB187="Non",0,IF(AB190&gt;=0.5,IF(AB189&gt;Annexes!O5,Annexes!O5,ROUND(AB189,0)),0)),0)</f>
        <v>0</v>
      </c>
      <c r="AC214" s="1"/>
      <c r="AD214" s="1"/>
      <c r="AE214" s="13"/>
    </row>
    <row r="215" spans="2:31" ht="16.5" customHeight="1">
      <c r="B215" s="103"/>
      <c r="C215" s="529"/>
      <c r="D215" s="529"/>
      <c r="E215" s="529"/>
      <c r="F215" s="529"/>
      <c r="G215" s="529"/>
      <c r="H215" s="529"/>
      <c r="I215" s="529"/>
      <c r="J215" s="529"/>
      <c r="K215" s="529"/>
      <c r="L215" s="529"/>
      <c r="M215" s="529"/>
      <c r="N215" s="529"/>
      <c r="O215" s="529"/>
      <c r="P215" s="1"/>
      <c r="T215" s="14"/>
      <c r="U215" s="502" t="s">
        <v>81</v>
      </c>
      <c r="V215" s="502"/>
      <c r="W215" s="502"/>
      <c r="X215" s="502"/>
      <c r="Y215" s="502"/>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customHeight="1">
      <c r="B216" s="173"/>
      <c r="C216" s="529"/>
      <c r="D216" s="529"/>
      <c r="E216" s="529"/>
      <c r="F216" s="529"/>
      <c r="G216" s="529"/>
      <c r="H216" s="529"/>
      <c r="I216" s="529"/>
      <c r="J216" s="529"/>
      <c r="K216" s="529"/>
      <c r="L216" s="529"/>
      <c r="M216" s="529"/>
      <c r="N216" s="529"/>
      <c r="O216" s="529"/>
      <c r="P216" s="1"/>
      <c r="T216" s="14"/>
      <c r="U216" s="502" t="s">
        <v>399</v>
      </c>
      <c r="V216" s="502"/>
      <c r="W216" s="502"/>
      <c r="X216" s="502"/>
      <c r="Y216" s="502"/>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customHeight="1">
      <c r="B217" s="173"/>
      <c r="C217" s="387"/>
      <c r="D217" s="306"/>
      <c r="E217" s="417"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417"/>
      <c r="G217" s="417"/>
      <c r="H217" s="417"/>
      <c r="I217" s="417"/>
      <c r="J217" s="417"/>
      <c r="K217" s="417"/>
      <c r="L217" s="417"/>
      <c r="M217" s="417"/>
      <c r="N217" s="417"/>
      <c r="O217" s="417"/>
      <c r="P217" s="1"/>
      <c r="T217" s="14"/>
      <c r="U217" s="1"/>
      <c r="V217" s="1"/>
      <c r="W217" s="1"/>
      <c r="X217" s="1"/>
      <c r="Y217" s="1"/>
      <c r="Z217" s="1"/>
      <c r="AA217" s="1"/>
      <c r="AB217" s="1"/>
      <c r="AC217" s="1"/>
      <c r="AD217" s="1"/>
      <c r="AE217" s="13"/>
    </row>
    <row r="218" spans="2:31" ht="30" customHeight="1">
      <c r="B218" s="173"/>
      <c r="C218" s="387"/>
      <c r="D218" s="306"/>
      <c r="E218" s="417"/>
      <c r="F218" s="417"/>
      <c r="G218" s="417"/>
      <c r="H218" s="417"/>
      <c r="I218" s="417"/>
      <c r="J218" s="417"/>
      <c r="K218" s="417"/>
      <c r="L218" s="417"/>
      <c r="M218" s="417"/>
      <c r="N218" s="417"/>
      <c r="O218" s="417"/>
      <c r="P218" s="1"/>
      <c r="T218" s="14"/>
      <c r="U218" s="1"/>
      <c r="V218" s="1"/>
      <c r="W218" s="1"/>
      <c r="X218" s="1"/>
      <c r="Y218" s="1"/>
      <c r="Z218" s="1"/>
      <c r="AA218" s="1"/>
      <c r="AB218" s="1"/>
      <c r="AC218" s="1"/>
      <c r="AD218" s="1"/>
      <c r="AE218" s="13"/>
    </row>
    <row r="219" spans="2:31" ht="16.5" customHeight="1">
      <c r="B219" s="173"/>
      <c r="C219" s="387"/>
      <c r="D219" s="417"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417"/>
      <c r="F219" s="417"/>
      <c r="G219" s="417"/>
      <c r="H219" s="417"/>
      <c r="I219" s="417"/>
      <c r="J219" s="417"/>
      <c r="K219" s="417"/>
      <c r="L219" s="417"/>
      <c r="M219" s="417"/>
      <c r="N219" s="417"/>
      <c r="O219" s="417"/>
      <c r="P219" s="377"/>
      <c r="Q219" s="377"/>
      <c r="T219" s="14"/>
      <c r="U219" s="1"/>
      <c r="V219" s="1"/>
      <c r="W219" s="1"/>
      <c r="X219" s="1"/>
      <c r="Y219" s="1"/>
      <c r="Z219" s="1"/>
      <c r="AA219" s="1"/>
      <c r="AB219" s="1"/>
      <c r="AC219" s="1"/>
      <c r="AD219" s="1"/>
      <c r="AE219" s="13"/>
    </row>
    <row r="220" spans="2:31" ht="16.5" customHeight="1">
      <c r="B220" s="103"/>
      <c r="C220" s="387"/>
      <c r="D220" s="523"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523"/>
      <c r="F220" s="523"/>
      <c r="G220" s="523"/>
      <c r="H220" s="523"/>
      <c r="I220" s="523"/>
      <c r="J220" s="523"/>
      <c r="K220" s="523"/>
      <c r="L220" s="523"/>
      <c r="M220" s="523"/>
      <c r="N220" s="523"/>
      <c r="O220" s="523"/>
      <c r="P220" s="377"/>
      <c r="Q220" s="377"/>
      <c r="T220" s="14"/>
      <c r="U220" s="1"/>
      <c r="V220" s="1"/>
      <c r="W220" s="1"/>
      <c r="X220" s="1"/>
      <c r="Y220" s="1"/>
      <c r="Z220" s="1"/>
      <c r="AA220" s="1"/>
      <c r="AB220" s="1"/>
      <c r="AC220" s="1"/>
      <c r="AD220" s="1"/>
      <c r="AE220" s="13"/>
    </row>
    <row r="221" spans="2:31" ht="16.5" customHeight="1">
      <c r="B221" s="168"/>
      <c r="C221" s="387"/>
      <c r="D221" s="523"/>
      <c r="E221" s="523"/>
      <c r="F221" s="523"/>
      <c r="G221" s="523"/>
      <c r="H221" s="523"/>
      <c r="I221" s="523"/>
      <c r="J221" s="523"/>
      <c r="K221" s="523"/>
      <c r="L221" s="523"/>
      <c r="M221" s="523"/>
      <c r="N221" s="523"/>
      <c r="O221" s="523"/>
      <c r="P221" s="377"/>
      <c r="Q221" s="377"/>
      <c r="T221" s="14"/>
      <c r="U221" s="1"/>
      <c r="V221" s="1"/>
      <c r="W221" s="1"/>
      <c r="X221" s="1"/>
      <c r="Y221" s="1"/>
      <c r="Z221" s="1"/>
      <c r="AA221" s="1"/>
      <c r="AB221" s="1"/>
      <c r="AC221" s="1"/>
      <c r="AD221" s="1"/>
      <c r="AE221" s="13"/>
    </row>
    <row r="222" spans="2:31" ht="16.5" customHeight="1" thickBot="1">
      <c r="B222" s="168"/>
      <c r="C222" s="387"/>
      <c r="D222" s="205"/>
      <c r="E222" s="377"/>
      <c r="F222" s="377"/>
      <c r="G222" s="377"/>
      <c r="H222" s="377"/>
      <c r="I222" s="377"/>
      <c r="J222" s="377"/>
      <c r="K222" s="377"/>
      <c r="L222" s="377"/>
      <c r="M222" s="377"/>
      <c r="N222" s="377"/>
      <c r="O222" s="377"/>
      <c r="P222" s="377"/>
      <c r="Q222" s="377"/>
      <c r="T222" s="14"/>
      <c r="U222" s="1"/>
      <c r="V222" s="1"/>
      <c r="W222" s="1"/>
      <c r="X222" s="1"/>
      <c r="Y222" s="1"/>
      <c r="Z222" s="1"/>
      <c r="AA222" s="1"/>
      <c r="AB222" s="1"/>
      <c r="AC222" s="1"/>
      <c r="AD222" s="1"/>
      <c r="AE222" s="13"/>
    </row>
    <row r="223" spans="2:31" ht="16.5" customHeight="1">
      <c r="B223" s="103"/>
      <c r="C223" s="180"/>
      <c r="D223" s="526"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509"/>
      <c r="F223" s="509"/>
      <c r="G223" s="509"/>
      <c r="H223" s="509"/>
      <c r="I223" s="509"/>
      <c r="J223" s="509"/>
      <c r="K223" s="509"/>
      <c r="L223" s="509"/>
      <c r="M223" s="509"/>
      <c r="N223" s="509"/>
      <c r="O223" s="510"/>
      <c r="P223" s="377"/>
      <c r="Q223" s="377"/>
      <c r="T223" s="14"/>
      <c r="U223" s="1"/>
      <c r="V223" s="1"/>
      <c r="W223" s="1"/>
      <c r="X223" s="1"/>
      <c r="Y223" s="1"/>
      <c r="Z223" s="1"/>
      <c r="AA223" s="1"/>
      <c r="AB223" s="1"/>
      <c r="AC223" s="1"/>
      <c r="AD223" s="1"/>
      <c r="AE223" s="13"/>
    </row>
    <row r="224" spans="2:31" ht="16.5" customHeight="1">
      <c r="B224" s="103"/>
      <c r="C224" s="180"/>
      <c r="D224" s="511"/>
      <c r="E224" s="512"/>
      <c r="F224" s="512"/>
      <c r="G224" s="512"/>
      <c r="H224" s="512"/>
      <c r="I224" s="512"/>
      <c r="J224" s="512"/>
      <c r="K224" s="512"/>
      <c r="L224" s="512"/>
      <c r="M224" s="512"/>
      <c r="N224" s="512"/>
      <c r="O224" s="513"/>
      <c r="P224" s="377"/>
      <c r="Q224" s="377"/>
      <c r="T224" s="14"/>
      <c r="U224" s="1"/>
      <c r="V224" s="1"/>
      <c r="W224" s="1"/>
      <c r="X224" s="1"/>
      <c r="Y224" s="1"/>
      <c r="Z224" s="1"/>
      <c r="AA224" s="1"/>
      <c r="AB224" s="1"/>
      <c r="AC224" s="1"/>
      <c r="AD224" s="1"/>
      <c r="AE224" s="13"/>
    </row>
    <row r="225" spans="2:31" ht="16.5" customHeight="1">
      <c r="B225" s="103"/>
      <c r="C225" s="180"/>
      <c r="D225" s="511"/>
      <c r="E225" s="512"/>
      <c r="F225" s="512"/>
      <c r="G225" s="512"/>
      <c r="H225" s="512"/>
      <c r="I225" s="512"/>
      <c r="J225" s="512"/>
      <c r="K225" s="512"/>
      <c r="L225" s="512"/>
      <c r="M225" s="512"/>
      <c r="N225" s="512"/>
      <c r="O225" s="513"/>
      <c r="P225" s="175"/>
      <c r="Q225" s="175"/>
      <c r="T225" s="14"/>
      <c r="U225" s="1"/>
      <c r="V225" s="1"/>
      <c r="W225" s="1"/>
      <c r="X225" s="1"/>
      <c r="Y225" s="1"/>
      <c r="Z225" s="1"/>
      <c r="AA225" s="1"/>
      <c r="AB225" s="1"/>
      <c r="AC225" s="1"/>
      <c r="AD225" s="1"/>
      <c r="AE225" s="13"/>
    </row>
    <row r="226" spans="2:31" ht="16.5" customHeight="1" thickBot="1">
      <c r="B226" s="103"/>
      <c r="C226" s="180"/>
      <c r="D226" s="514"/>
      <c r="E226" s="515"/>
      <c r="F226" s="515"/>
      <c r="G226" s="515"/>
      <c r="H226" s="515"/>
      <c r="I226" s="515"/>
      <c r="J226" s="515"/>
      <c r="K226" s="515"/>
      <c r="L226" s="515"/>
      <c r="M226" s="515"/>
      <c r="N226" s="515"/>
      <c r="O226" s="516"/>
      <c r="T226" s="14"/>
      <c r="U226" s="1"/>
      <c r="V226" s="1"/>
      <c r="W226" s="1"/>
      <c r="X226" s="1"/>
      <c r="Y226" s="1"/>
      <c r="Z226" s="1"/>
      <c r="AA226" s="1"/>
      <c r="AB226" s="1"/>
      <c r="AC226" s="1"/>
      <c r="AD226" s="1"/>
      <c r="AE226" s="13"/>
    </row>
    <row r="227" spans="2:31" ht="16.5" customHeight="1">
      <c r="B227" s="5"/>
      <c r="C227" s="5"/>
      <c r="D227" s="391"/>
      <c r="E227" s="391"/>
      <c r="F227" s="391"/>
      <c r="G227" s="391"/>
      <c r="H227" s="391"/>
      <c r="I227" s="391"/>
      <c r="J227" s="391"/>
      <c r="K227" s="391"/>
      <c r="L227" s="391"/>
      <c r="M227" s="391"/>
      <c r="N227" s="391"/>
      <c r="O227" s="391"/>
      <c r="P227" s="177"/>
      <c r="Q227" s="177"/>
      <c r="T227" s="14"/>
      <c r="U227" s="1"/>
      <c r="V227" s="1"/>
      <c r="W227" s="1"/>
      <c r="X227" s="1"/>
      <c r="Y227" s="1"/>
      <c r="Z227" s="1"/>
      <c r="AA227" s="1"/>
      <c r="AB227" s="1"/>
      <c r="AC227" s="1"/>
      <c r="AD227" s="1"/>
      <c r="AE227" s="13"/>
    </row>
    <row r="228" spans="2:31">
      <c r="B228" s="5"/>
      <c r="C228" s="5"/>
      <c r="D228" s="391"/>
      <c r="E228" s="391"/>
      <c r="F228" s="391"/>
      <c r="G228" s="391"/>
      <c r="H228" s="391"/>
      <c r="I228" s="391"/>
      <c r="J228" s="391"/>
      <c r="K228" s="391"/>
      <c r="L228" s="391"/>
      <c r="M228" s="391"/>
      <c r="N228" s="391"/>
      <c r="O228" s="391"/>
      <c r="P228" s="177"/>
      <c r="Q228" s="177"/>
      <c r="T228" s="15"/>
      <c r="U228" s="10"/>
      <c r="V228" s="10"/>
      <c r="W228" s="10"/>
      <c r="X228" s="10"/>
      <c r="Y228" s="10"/>
      <c r="Z228" s="10"/>
      <c r="AA228" s="10"/>
      <c r="AB228" s="10"/>
      <c r="AC228" s="10"/>
      <c r="AD228" s="10"/>
      <c r="AE228" s="4"/>
    </row>
    <row r="229" spans="2:31">
      <c r="B229" s="5"/>
      <c r="C229" s="5"/>
      <c r="D229" s="391"/>
      <c r="E229" s="391"/>
      <c r="F229" s="391"/>
      <c r="G229" s="391"/>
      <c r="H229" s="391"/>
      <c r="I229" s="391"/>
      <c r="J229" s="391"/>
      <c r="K229" s="391"/>
      <c r="L229" s="391"/>
      <c r="M229" s="391"/>
      <c r="N229" s="391"/>
      <c r="O229" s="391"/>
      <c r="P229" s="177"/>
      <c r="Q229" s="177"/>
      <c r="T229" s="16"/>
      <c r="U229" s="11"/>
      <c r="V229" s="11"/>
      <c r="W229" s="11"/>
      <c r="X229" s="11"/>
      <c r="Y229" s="11"/>
      <c r="Z229" s="11"/>
      <c r="AA229" s="11"/>
      <c r="AB229" s="11"/>
      <c r="AC229" s="11"/>
      <c r="AD229" s="11"/>
      <c r="AE229" s="12"/>
    </row>
    <row r="230" spans="2:31" ht="16.5" thickBot="1">
      <c r="B230" s="220"/>
      <c r="C230" s="488" t="s">
        <v>309</v>
      </c>
      <c r="D230" s="488"/>
      <c r="E230" s="488"/>
      <c r="F230" s="488"/>
      <c r="G230" s="488"/>
      <c r="H230" s="488"/>
      <c r="I230" s="221"/>
      <c r="J230" s="221"/>
      <c r="K230" s="221"/>
      <c r="L230" s="221"/>
      <c r="M230" s="221"/>
      <c r="N230" s="221"/>
      <c r="O230" s="221"/>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90" t="s">
        <v>20</v>
      </c>
      <c r="V231" s="490"/>
      <c r="W231" s="490"/>
      <c r="X231" s="1"/>
      <c r="Y231" s="390" t="s">
        <v>6</v>
      </c>
      <c r="Z231" s="390"/>
      <c r="AA231" s="390"/>
      <c r="AB231" s="390" t="s">
        <v>23</v>
      </c>
      <c r="AC231" s="390"/>
      <c r="AD231" s="390"/>
      <c r="AE231" s="26" t="s">
        <v>24</v>
      </c>
    </row>
    <row r="232" spans="2:31" ht="15" customHeight="1">
      <c r="B232" s="103"/>
      <c r="C232" s="489" t="s">
        <v>312</v>
      </c>
      <c r="D232" s="489"/>
      <c r="E232" s="489"/>
      <c r="F232" s="489"/>
      <c r="G232" s="489"/>
      <c r="H232" s="489"/>
      <c r="I232" s="489"/>
      <c r="J232" s="489"/>
      <c r="K232" s="489"/>
      <c r="L232" s="489"/>
      <c r="M232" s="489"/>
      <c r="N232" s="489"/>
      <c r="O232" s="489"/>
      <c r="P232" s="1"/>
      <c r="T232" s="25"/>
      <c r="U232" s="390"/>
      <c r="V232" s="390"/>
      <c r="W232" s="390"/>
      <c r="X232" s="1"/>
      <c r="Y232" s="390"/>
      <c r="Z232" s="390"/>
      <c r="AA232" s="390"/>
      <c r="AB232" s="390"/>
      <c r="AC232" s="390"/>
      <c r="AD232" s="390"/>
      <c r="AE232" s="26"/>
    </row>
    <row r="233" spans="2:31" ht="15.75" customHeight="1">
      <c r="B233" s="103"/>
      <c r="C233" s="387"/>
      <c r="D233" s="60" t="s">
        <v>123</v>
      </c>
      <c r="E233" s="387"/>
      <c r="F233" s="387"/>
      <c r="G233" s="387"/>
      <c r="H233" s="387"/>
      <c r="I233" s="387"/>
      <c r="J233" s="387"/>
      <c r="K233" s="387"/>
      <c r="L233" s="387"/>
      <c r="M233" s="387"/>
      <c r="N233" s="387"/>
      <c r="O233" s="387"/>
      <c r="P233" s="1"/>
      <c r="T233" s="491" t="s">
        <v>311</v>
      </c>
      <c r="U233" s="490"/>
      <c r="V233" s="490"/>
      <c r="W233" s="490"/>
      <c r="X233" s="1"/>
      <c r="Y233" s="7">
        <f>'Mon Entreprise'!I124</f>
        <v>0</v>
      </c>
      <c r="Z233" s="133"/>
      <c r="AA233" s="21"/>
      <c r="AB233" s="7">
        <f>IF('Mon Entreprise'!I124-'Mon Entreprise'!M124&lt;0,0,'Mon Entreprise'!I124-'Mon Entreprise'!M124)</f>
        <v>0</v>
      </c>
      <c r="AC233" s="13"/>
      <c r="AD233" s="1"/>
      <c r="AE233" s="27">
        <f>IFERROR(1-'Mon Entreprise'!M124/'Mon Entreprise'!I124,0)</f>
        <v>0</v>
      </c>
    </row>
    <row r="234" spans="2:31" ht="16.5" hidden="1" thickBot="1">
      <c r="B234" s="103"/>
      <c r="C234" s="387"/>
      <c r="D234" s="60"/>
      <c r="E234" s="387"/>
      <c r="F234" s="387"/>
      <c r="G234" s="387"/>
      <c r="H234" s="387"/>
      <c r="I234" s="387"/>
      <c r="J234" s="387"/>
      <c r="K234" s="387"/>
      <c r="L234" s="387"/>
      <c r="M234" s="387"/>
      <c r="N234" s="387"/>
      <c r="O234" s="387"/>
      <c r="P234" s="1"/>
      <c r="T234" s="491" t="s">
        <v>25</v>
      </c>
      <c r="U234" s="490"/>
      <c r="V234" s="490"/>
      <c r="W234" s="490"/>
      <c r="X234" s="1"/>
      <c r="Y234" s="7">
        <f>'Mon Entreprise'!I98</f>
        <v>0</v>
      </c>
      <c r="Z234" s="133"/>
      <c r="AA234" s="21"/>
      <c r="AB234" s="7">
        <f>IF('Mon Entreprise'!I98-'Mon Entreprise'!M124&lt;0,0,'Mon Entreprise'!I98-'Mon Entreprise'!M124)</f>
        <v>0</v>
      </c>
      <c r="AC234" s="36"/>
      <c r="AD234" s="1"/>
      <c r="AE234" s="27">
        <f>IFERROR(1-'Mon Entreprise'!M124/'Mon Entreprise'!I98,0)</f>
        <v>0</v>
      </c>
    </row>
    <row r="235" spans="2:31" ht="15.75" hidden="1">
      <c r="B235" s="103"/>
      <c r="C235" s="387"/>
      <c r="D235" s="492"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93"/>
      <c r="F235" s="493"/>
      <c r="G235" s="493"/>
      <c r="H235" s="493"/>
      <c r="I235" s="493"/>
      <c r="J235" s="493"/>
      <c r="K235" s="493"/>
      <c r="L235" s="493"/>
      <c r="M235" s="493"/>
      <c r="N235" s="493"/>
      <c r="O235" s="494"/>
      <c r="P235" s="1"/>
      <c r="T235" s="501" t="s">
        <v>22</v>
      </c>
      <c r="U235" s="502"/>
      <c r="V235" s="502"/>
      <c r="W235" s="502"/>
      <c r="X235" s="139"/>
      <c r="Y235" s="140" t="str">
        <f>IF('Mon Entreprise'!I162="","NC",'Mon Entreprise'!I162)</f>
        <v>NC</v>
      </c>
      <c r="Z235" s="191"/>
      <c r="AA235" s="192"/>
      <c r="AB235" s="143" t="str">
        <f>IFERROR(IF('Mon Entreprise'!I162-'Mon Entreprise'!M124&lt;0,0,'Mon Entreprise'!I162-'Mon Entreprise'!M124),"NC")</f>
        <v>NC</v>
      </c>
      <c r="AC235" s="193"/>
      <c r="AD235" s="139"/>
      <c r="AE235" s="146" t="str">
        <f>IFERROR(1-'Mon Entreprise'!M124/'Mon Entreprise'!I162,"NC")</f>
        <v>NC</v>
      </c>
    </row>
    <row r="236" spans="2:31" ht="15.75" hidden="1" customHeight="1">
      <c r="B236" s="103"/>
      <c r="C236" s="387"/>
      <c r="D236" s="495"/>
      <c r="E236" s="496"/>
      <c r="F236" s="496"/>
      <c r="G236" s="496"/>
      <c r="H236" s="496"/>
      <c r="I236" s="496"/>
      <c r="J236" s="496"/>
      <c r="K236" s="496"/>
      <c r="L236" s="496"/>
      <c r="M236" s="496"/>
      <c r="N236" s="496"/>
      <c r="O236" s="497"/>
      <c r="P236" s="1"/>
      <c r="T236" s="14"/>
      <c r="U236" s="1"/>
      <c r="V236" s="1"/>
      <c r="W236" s="1"/>
      <c r="X236" s="1"/>
      <c r="Y236" s="1"/>
      <c r="Z236" s="1"/>
      <c r="AA236" s="1"/>
      <c r="AB236" s="1"/>
      <c r="AC236" s="1"/>
      <c r="AD236" s="1"/>
      <c r="AE236" s="13"/>
    </row>
    <row r="237" spans="2:31" ht="15.75" hidden="1" customHeight="1">
      <c r="B237" s="103"/>
      <c r="C237" s="387"/>
      <c r="D237" s="495"/>
      <c r="E237" s="496"/>
      <c r="F237" s="496"/>
      <c r="G237" s="496"/>
      <c r="H237" s="496"/>
      <c r="I237" s="496"/>
      <c r="J237" s="496"/>
      <c r="K237" s="496"/>
      <c r="L237" s="496"/>
      <c r="M237" s="496"/>
      <c r="N237" s="496"/>
      <c r="O237" s="497"/>
      <c r="P237" s="1"/>
      <c r="T237" s="14"/>
      <c r="AC237" s="1"/>
      <c r="AD237" s="1"/>
      <c r="AE237" s="13"/>
    </row>
    <row r="238" spans="2:31" ht="15.75" hidden="1" customHeight="1">
      <c r="B238" s="103"/>
      <c r="C238" s="387"/>
      <c r="D238" s="495"/>
      <c r="E238" s="496"/>
      <c r="F238" s="496"/>
      <c r="G238" s="496"/>
      <c r="H238" s="496"/>
      <c r="I238" s="496"/>
      <c r="J238" s="496"/>
      <c r="K238" s="496"/>
      <c r="L238" s="496"/>
      <c r="M238" s="496"/>
      <c r="N238" s="496"/>
      <c r="O238" s="497"/>
      <c r="P238" s="1"/>
      <c r="T238" s="14"/>
      <c r="AC238" s="1"/>
      <c r="AD238" s="1"/>
      <c r="AE238" s="13"/>
    </row>
    <row r="239" spans="2:31" ht="15.75" hidden="1" customHeight="1" thickBot="1">
      <c r="B239" s="103"/>
      <c r="C239" s="387"/>
      <c r="D239" s="498"/>
      <c r="E239" s="499"/>
      <c r="F239" s="499"/>
      <c r="G239" s="499"/>
      <c r="H239" s="499"/>
      <c r="I239" s="499"/>
      <c r="J239" s="499"/>
      <c r="K239" s="499"/>
      <c r="L239" s="499"/>
      <c r="M239" s="499"/>
      <c r="N239" s="499"/>
      <c r="O239" s="500"/>
      <c r="P239" s="1"/>
      <c r="T239" s="14"/>
      <c r="AC239" s="1"/>
      <c r="AD239" s="1"/>
      <c r="AE239" s="13"/>
    </row>
    <row r="240" spans="2:31" ht="16.5" hidden="1" customHeight="1">
      <c r="B240" s="103"/>
      <c r="C240" s="387"/>
      <c r="D240" s="60"/>
      <c r="E240" s="387"/>
      <c r="F240" s="387"/>
      <c r="G240" s="387"/>
      <c r="H240" s="387"/>
      <c r="I240" s="387"/>
      <c r="J240" s="387"/>
      <c r="K240" s="387"/>
      <c r="L240" s="387"/>
      <c r="M240" s="387"/>
      <c r="N240" s="387"/>
      <c r="O240" s="387"/>
      <c r="P240" s="1"/>
      <c r="T240" s="14"/>
      <c r="U240" s="1"/>
      <c r="V240" s="1"/>
      <c r="W240" s="1"/>
      <c r="X240" s="1"/>
      <c r="Y240" s="1"/>
      <c r="Z240" s="1"/>
      <c r="AA240" s="1"/>
      <c r="AB240" s="1"/>
      <c r="AC240" s="1"/>
      <c r="AD240" s="1"/>
      <c r="AE240" s="13"/>
    </row>
    <row r="241" spans="2:31" ht="15.75">
      <c r="B241" s="103"/>
      <c r="C241" s="78"/>
      <c r="D241" s="78"/>
      <c r="E241" s="78"/>
      <c r="F241" s="78"/>
      <c r="G241" s="78"/>
      <c r="H241" s="78"/>
      <c r="I241" s="78"/>
      <c r="J241" s="78"/>
      <c r="K241" s="78"/>
      <c r="L241" s="78"/>
      <c r="M241" s="78"/>
      <c r="N241" s="78"/>
      <c r="O241" s="78"/>
      <c r="P241" s="1"/>
      <c r="T241" s="14"/>
      <c r="U241" s="506" t="s">
        <v>72</v>
      </c>
      <c r="V241" s="506"/>
      <c r="W241" s="506"/>
      <c r="X241" s="506"/>
      <c r="Y241" s="506"/>
      <c r="Z241" s="1"/>
      <c r="AA241" s="14"/>
      <c r="AB241" s="385" t="str">
        <f>IF('Mon Entreprise'!K8&lt;=Annexes!Q26,"Oui","Non")</f>
        <v>Oui</v>
      </c>
      <c r="AC241" s="1"/>
      <c r="AD241" s="1"/>
      <c r="AE241" s="13"/>
    </row>
    <row r="242" spans="2:31" ht="15.75">
      <c r="B242" s="103"/>
      <c r="C242" s="387"/>
      <c r="D242" s="60"/>
      <c r="E242" s="387"/>
      <c r="F242" s="387"/>
      <c r="G242" s="387"/>
      <c r="H242" s="387"/>
      <c r="I242" s="387"/>
      <c r="J242" s="387"/>
      <c r="K242" s="387"/>
      <c r="L242" s="387"/>
      <c r="M242" s="387"/>
      <c r="N242" s="387"/>
      <c r="O242" s="387"/>
      <c r="P242" s="1"/>
      <c r="T242" s="14"/>
      <c r="U242" s="386"/>
      <c r="V242" s="506" t="s">
        <v>393</v>
      </c>
      <c r="W242" s="506"/>
      <c r="X242" s="506"/>
      <c r="Y242" s="506"/>
      <c r="Z242" s="1"/>
      <c r="AA242" s="14"/>
      <c r="AB242" s="385">
        <f>IF('Mon Entreprise'!K8&gt;=Annexes!O20,IF(Y233&gt;=Y235,Y233,Y235),IF(Y233&gt;=Y234,Y233,Y234))</f>
        <v>0</v>
      </c>
      <c r="AC242" s="1"/>
      <c r="AD242" s="1"/>
      <c r="AE242" s="13"/>
    </row>
    <row r="243" spans="2:31" ht="15.75">
      <c r="B243" s="103"/>
      <c r="C243" s="387" t="s">
        <v>310</v>
      </c>
      <c r="D243" s="60"/>
      <c r="E243" s="387"/>
      <c r="F243" s="387"/>
      <c r="G243" s="387"/>
      <c r="H243" s="387"/>
      <c r="I243" s="387"/>
      <c r="J243" s="387"/>
      <c r="K243" s="387"/>
      <c r="L243" s="387"/>
      <c r="M243" s="387"/>
      <c r="N243" s="387"/>
      <c r="O243" s="387"/>
      <c r="P243" s="1"/>
      <c r="T243" s="14"/>
      <c r="U243" s="506" t="s">
        <v>84</v>
      </c>
      <c r="V243" s="506"/>
      <c r="W243" s="506"/>
      <c r="X243" s="506"/>
      <c r="Y243" s="506"/>
      <c r="Z243" s="1"/>
      <c r="AA243" s="14"/>
      <c r="AB243" s="381">
        <f>IF('Mon Entreprise'!K8&gt;=Annexes!O20,IF(AB233&gt;=AB235,AB233,AB235),IF(AB233&gt;=AB234,AB233,AB234))</f>
        <v>0</v>
      </c>
      <c r="AC243" s="1"/>
      <c r="AD243" s="1"/>
      <c r="AE243" s="13"/>
    </row>
    <row r="244" spans="2:31" ht="15.75">
      <c r="B244" s="168"/>
      <c r="C244" s="387"/>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387"/>
      <c r="F244" s="387"/>
      <c r="G244" s="387"/>
      <c r="H244" s="387"/>
      <c r="I244" s="387"/>
      <c r="J244" s="387"/>
      <c r="K244" s="387"/>
      <c r="L244" s="387"/>
      <c r="M244" s="387"/>
      <c r="N244" s="387"/>
      <c r="O244" s="387"/>
      <c r="P244" s="1"/>
      <c r="T244" s="14"/>
      <c r="U244" s="506" t="s">
        <v>85</v>
      </c>
      <c r="V244" s="506"/>
      <c r="W244" s="506"/>
      <c r="X244" s="506"/>
      <c r="Y244" s="506"/>
      <c r="Z244" s="1"/>
      <c r="AA244" s="14"/>
      <c r="AB244" s="19">
        <f>IF('Mon Entreprise'!K8&gt;=Annexes!O20,IF(AB233&gt;=AB235,AE233,AE235),IF(AB233&gt;=AB234,AE233,AE234))</f>
        <v>0</v>
      </c>
      <c r="AC244" s="1"/>
      <c r="AD244" s="1"/>
      <c r="AE244" s="13"/>
    </row>
    <row r="245" spans="2:31" ht="16.5" thickBot="1">
      <c r="B245" s="103"/>
      <c r="C245" s="387"/>
      <c r="D245" s="60"/>
      <c r="E245" s="387"/>
      <c r="F245" s="387"/>
      <c r="G245" s="387"/>
      <c r="H245" s="387"/>
      <c r="I245" s="387"/>
      <c r="J245" s="387"/>
      <c r="K245" s="387"/>
      <c r="L245" s="387"/>
      <c r="M245" s="387"/>
      <c r="N245" s="387"/>
      <c r="O245" s="387"/>
      <c r="P245" s="1"/>
      <c r="T245" s="14"/>
      <c r="U245" s="1"/>
      <c r="V245" s="1"/>
      <c r="W245" s="1"/>
      <c r="X245" s="1"/>
      <c r="Y245" s="1"/>
      <c r="Z245" s="1"/>
      <c r="AA245" s="1"/>
      <c r="AB245" s="1"/>
      <c r="AC245" s="1"/>
      <c r="AD245" s="1"/>
      <c r="AE245" s="13"/>
    </row>
    <row r="246" spans="2:31" ht="15.75">
      <c r="B246" s="168"/>
      <c r="C246" s="387"/>
      <c r="D246" s="508"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509"/>
      <c r="F246" s="509"/>
      <c r="G246" s="509"/>
      <c r="H246" s="509"/>
      <c r="I246" s="509"/>
      <c r="J246" s="509"/>
      <c r="K246" s="509"/>
      <c r="L246" s="509"/>
      <c r="M246" s="509"/>
      <c r="N246" s="509"/>
      <c r="O246" s="510"/>
      <c r="P246" s="1"/>
      <c r="T246" s="14"/>
      <c r="U246" s="1"/>
      <c r="V246" s="1"/>
      <c r="W246" s="1"/>
      <c r="X246" s="1"/>
      <c r="Y246" s="1"/>
      <c r="Z246" s="1"/>
      <c r="AA246" s="1"/>
      <c r="AB246" s="1"/>
      <c r="AC246" s="1"/>
      <c r="AD246" s="1"/>
      <c r="AE246" s="13"/>
    </row>
    <row r="247" spans="2:31" ht="15.75" customHeight="1">
      <c r="B247" s="168"/>
      <c r="C247" s="387"/>
      <c r="D247" s="511"/>
      <c r="E247" s="512"/>
      <c r="F247" s="512"/>
      <c r="G247" s="512"/>
      <c r="H247" s="512"/>
      <c r="I247" s="512"/>
      <c r="J247" s="512"/>
      <c r="K247" s="512"/>
      <c r="L247" s="512"/>
      <c r="M247" s="512"/>
      <c r="N247" s="512"/>
      <c r="O247" s="513"/>
      <c r="P247" s="1"/>
      <c r="T247" s="14"/>
      <c r="U247" s="1"/>
      <c r="V247" s="1"/>
      <c r="W247" s="1"/>
      <c r="X247" s="1"/>
      <c r="Y247" s="1"/>
      <c r="Z247" s="1"/>
      <c r="AA247" s="1"/>
      <c r="AB247" s="1"/>
      <c r="AC247" s="1"/>
      <c r="AD247" s="1"/>
      <c r="AE247" s="13"/>
    </row>
    <row r="248" spans="2:31" ht="15.75" customHeight="1">
      <c r="B248" s="103"/>
      <c r="C248" s="387"/>
      <c r="D248" s="511"/>
      <c r="E248" s="512"/>
      <c r="F248" s="512"/>
      <c r="G248" s="512"/>
      <c r="H248" s="512"/>
      <c r="I248" s="512"/>
      <c r="J248" s="512"/>
      <c r="K248" s="512"/>
      <c r="L248" s="512"/>
      <c r="M248" s="512"/>
      <c r="N248" s="512"/>
      <c r="O248" s="513"/>
      <c r="P248" s="1"/>
      <c r="T248" s="14"/>
      <c r="U248" s="1"/>
      <c r="V248" s="1"/>
      <c r="W248" s="1"/>
      <c r="X248" s="1"/>
      <c r="Y248" s="1"/>
      <c r="Z248" s="1"/>
      <c r="AA248" s="1"/>
      <c r="AB248" s="1"/>
      <c r="AC248" s="1"/>
      <c r="AD248" s="1"/>
      <c r="AE248" s="13"/>
    </row>
    <row r="249" spans="2:31" ht="15.75" customHeight="1" thickBot="1">
      <c r="B249" s="103"/>
      <c r="C249" s="387"/>
      <c r="D249" s="514"/>
      <c r="E249" s="515"/>
      <c r="F249" s="515"/>
      <c r="G249" s="515"/>
      <c r="H249" s="515"/>
      <c r="I249" s="515"/>
      <c r="J249" s="515"/>
      <c r="K249" s="515"/>
      <c r="L249" s="515"/>
      <c r="M249" s="515"/>
      <c r="N249" s="515"/>
      <c r="O249" s="516"/>
      <c r="P249" s="1"/>
      <c r="T249" s="14"/>
      <c r="U249" s="1"/>
      <c r="V249" s="1"/>
      <c r="W249" s="1"/>
      <c r="X249" s="1"/>
      <c r="Y249" s="1"/>
      <c r="Z249" s="1"/>
      <c r="AA249" s="1"/>
      <c r="AB249" s="1"/>
      <c r="AC249" s="1"/>
      <c r="AD249" s="1"/>
      <c r="AE249" s="13"/>
    </row>
    <row r="250" spans="2:31" ht="16.5" customHeight="1">
      <c r="B250" s="103"/>
      <c r="C250" s="169"/>
      <c r="D250" s="517" t="s">
        <v>395</v>
      </c>
      <c r="E250" s="517"/>
      <c r="F250" s="517"/>
      <c r="G250" s="517"/>
      <c r="H250" s="517"/>
      <c r="I250" s="517"/>
      <c r="J250" s="517"/>
      <c r="K250" s="517"/>
      <c r="L250" s="517"/>
      <c r="M250" s="517"/>
      <c r="N250" s="517"/>
      <c r="O250" s="517"/>
      <c r="P250" s="1"/>
      <c r="T250" s="518" t="s">
        <v>4</v>
      </c>
      <c r="U250" s="519"/>
      <c r="V250" s="519"/>
      <c r="W250" s="519"/>
      <c r="X250" s="519"/>
      <c r="Y250" s="519"/>
      <c r="Z250" s="139"/>
      <c r="AA250" s="145"/>
      <c r="AB250" s="194">
        <f>IFERROR(IF('Mon Entreprise'!K8&gt;=Annexes!Q18,0,1-'Mon Entreprise'!M118/2/AB242),0)</f>
        <v>0</v>
      </c>
      <c r="AC250" s="1"/>
      <c r="AD250" s="1"/>
      <c r="AE250" s="13"/>
    </row>
    <row r="251" spans="2:31" ht="16.5" customHeight="1">
      <c r="B251" s="103"/>
      <c r="C251" s="387"/>
      <c r="D251" s="306"/>
      <c r="E251" s="306"/>
      <c r="F251" s="306"/>
      <c r="G251" s="306"/>
      <c r="H251" s="306"/>
      <c r="I251" s="306"/>
      <c r="J251" s="306"/>
      <c r="K251" s="306"/>
      <c r="L251" s="306"/>
      <c r="M251" s="306"/>
      <c r="N251" s="306"/>
      <c r="O251" s="306"/>
      <c r="P251" s="1"/>
      <c r="T251" s="110"/>
      <c r="U251" s="520" t="s">
        <v>102</v>
      </c>
      <c r="V251" s="520"/>
      <c r="W251" s="520"/>
      <c r="X251" s="520"/>
      <c r="Y251" s="520"/>
      <c r="Z251" s="139"/>
      <c r="AA251" s="145"/>
      <c r="AB251" s="194">
        <f>IFERROR(IF('Mon Entreprise'!K8&gt;Annexes!Q26,0,1-'Mon Entreprise'!M114/AB242),0)</f>
        <v>0</v>
      </c>
      <c r="AC251" s="1"/>
      <c r="AD251" s="1"/>
      <c r="AE251" s="13"/>
    </row>
    <row r="252" spans="2:31" ht="16.5" customHeight="1">
      <c r="B252" s="103"/>
      <c r="C252" s="505" t="s">
        <v>421</v>
      </c>
      <c r="D252" s="505"/>
      <c r="E252" s="505"/>
      <c r="F252" s="505"/>
      <c r="G252" s="505"/>
      <c r="H252" s="505"/>
      <c r="I252" s="505"/>
      <c r="J252" s="505"/>
      <c r="K252" s="505"/>
      <c r="L252" s="505"/>
      <c r="M252" s="505"/>
      <c r="N252" s="505"/>
      <c r="O252" s="505"/>
      <c r="P252" s="1"/>
      <c r="T252" s="110"/>
      <c r="U252" s="520" t="s">
        <v>109</v>
      </c>
      <c r="V252" s="520"/>
      <c r="W252" s="520"/>
      <c r="X252" s="520"/>
      <c r="Y252" s="520"/>
      <c r="Z252" s="139"/>
      <c r="AA252" s="145"/>
      <c r="AB252" s="194">
        <f>IFERROR(IF(Annexes!O27&gt;'Mon Entreprise'!K8,1-'Mon Entreprise'!M98/'Mon Entreprise'!I98,0),0)</f>
        <v>0</v>
      </c>
      <c r="AC252" s="1"/>
      <c r="AD252" s="1"/>
      <c r="AE252" s="13"/>
    </row>
    <row r="253" spans="2:31" ht="16.5" customHeight="1">
      <c r="B253" s="103"/>
      <c r="C253" s="505"/>
      <c r="D253" s="505"/>
      <c r="E253" s="505"/>
      <c r="F253" s="505"/>
      <c r="G253" s="505"/>
      <c r="H253" s="505"/>
      <c r="I253" s="505"/>
      <c r="J253" s="505"/>
      <c r="K253" s="505"/>
      <c r="L253" s="505"/>
      <c r="M253" s="505"/>
      <c r="N253" s="505"/>
      <c r="O253" s="505"/>
      <c r="P253" s="1"/>
      <c r="T253" s="110"/>
      <c r="U253" s="382"/>
      <c r="V253" s="382"/>
      <c r="W253" s="382"/>
      <c r="X253" s="382"/>
      <c r="Y253" s="382"/>
      <c r="Z253" s="139"/>
      <c r="AA253" s="145"/>
      <c r="AB253" s="194"/>
      <c r="AC253" s="1"/>
      <c r="AD253" s="1"/>
      <c r="AE253" s="13"/>
    </row>
    <row r="254" spans="2:31" ht="16.5" customHeight="1">
      <c r="B254" s="103"/>
      <c r="C254" s="505"/>
      <c r="D254" s="505"/>
      <c r="E254" s="505"/>
      <c r="F254" s="505"/>
      <c r="G254" s="505"/>
      <c r="H254" s="505"/>
      <c r="I254" s="505"/>
      <c r="J254" s="505"/>
      <c r="K254" s="505"/>
      <c r="L254" s="505"/>
      <c r="M254" s="505"/>
      <c r="N254" s="505"/>
      <c r="O254" s="505"/>
      <c r="P254" s="1"/>
      <c r="T254" s="14"/>
      <c r="U254" s="521" t="s">
        <v>8</v>
      </c>
      <c r="V254" s="521"/>
      <c r="W254" s="521"/>
      <c r="X254" s="521"/>
      <c r="Y254" s="521"/>
      <c r="Z254" s="1"/>
      <c r="AA254" s="14"/>
      <c r="AB254" s="381" t="str">
        <f>IF((AND(Annexes!F5&gt;1,Annexes!F5&lt;=Annexes!H6)),"OUI","NON")</f>
        <v>NON</v>
      </c>
      <c r="AC254" s="1"/>
      <c r="AD254" s="1"/>
      <c r="AE254" s="13"/>
    </row>
    <row r="255" spans="2:31" ht="16.5" customHeight="1">
      <c r="B255" s="103"/>
      <c r="C255" s="505"/>
      <c r="D255" s="505"/>
      <c r="E255" s="505"/>
      <c r="F255" s="505"/>
      <c r="G255" s="505"/>
      <c r="H255" s="505"/>
      <c r="I255" s="505"/>
      <c r="J255" s="505"/>
      <c r="K255" s="505"/>
      <c r="L255" s="505"/>
      <c r="M255" s="505"/>
      <c r="N255" s="505"/>
      <c r="O255" s="505"/>
      <c r="P255" s="1"/>
      <c r="T255" s="14"/>
      <c r="U255" s="383"/>
      <c r="V255" s="383"/>
      <c r="W255" s="383"/>
      <c r="X255" s="383"/>
      <c r="Y255" s="383" t="s">
        <v>9</v>
      </c>
      <c r="Z255" s="1"/>
      <c r="AA255" s="14"/>
      <c r="AB255" s="381" t="str">
        <f>IF(AND(Annexes!F7&gt;1,Annexes!F7&lt;=Annexes!H8),"OUI","NON")</f>
        <v>NON</v>
      </c>
      <c r="AC255" s="1"/>
      <c r="AD255" s="1"/>
      <c r="AE255" s="13"/>
    </row>
    <row r="256" spans="2:31" ht="16.5" customHeight="1">
      <c r="B256" s="103"/>
      <c r="C256" s="387"/>
      <c r="D256" s="306"/>
      <c r="E256" s="417"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417"/>
      <c r="G256" s="417"/>
      <c r="H256" s="417"/>
      <c r="I256" s="417"/>
      <c r="J256" s="417"/>
      <c r="K256" s="417"/>
      <c r="L256" s="417"/>
      <c r="M256" s="417"/>
      <c r="N256" s="417"/>
      <c r="O256" s="417"/>
      <c r="P256" s="1"/>
      <c r="T256" s="491" t="s">
        <v>415</v>
      </c>
      <c r="U256" s="490"/>
      <c r="V256" s="490"/>
      <c r="W256" s="490"/>
      <c r="X256" s="490"/>
      <c r="Y256" s="490"/>
      <c r="Z256" s="1"/>
      <c r="AA256" s="14"/>
      <c r="AB256" s="381" t="str">
        <f>IF(OR(Annexes!M17=TRUE,Annexes!M23=TRUE),"OUI","NON")</f>
        <v>NON</v>
      </c>
      <c r="AC256" s="1"/>
      <c r="AD256" s="1"/>
      <c r="AE256" s="13"/>
    </row>
    <row r="257" spans="1:31" ht="16.5" customHeight="1">
      <c r="B257" s="103"/>
      <c r="C257" s="387"/>
      <c r="D257" s="306"/>
      <c r="E257" s="417"/>
      <c r="F257" s="417"/>
      <c r="G257" s="417"/>
      <c r="H257" s="417"/>
      <c r="I257" s="417"/>
      <c r="J257" s="417"/>
      <c r="K257" s="417"/>
      <c r="L257" s="417"/>
      <c r="M257" s="417"/>
      <c r="N257" s="417"/>
      <c r="O257" s="417"/>
      <c r="P257" s="1"/>
      <c r="T257" s="384"/>
      <c r="U257" s="490" t="s">
        <v>305</v>
      </c>
      <c r="V257" s="490"/>
      <c r="W257" s="490"/>
      <c r="X257" s="490"/>
      <c r="Y257" s="490"/>
      <c r="Z257" s="1"/>
      <c r="AA257" s="14"/>
      <c r="AB257" s="381" t="str">
        <f>IF(OR(Annexes!M17=TRUE,Annexes!M23=TRUE),"OUI","NON")</f>
        <v>NON</v>
      </c>
      <c r="AC257" s="1"/>
      <c r="AD257" s="1"/>
      <c r="AE257" s="13"/>
    </row>
    <row r="258" spans="1:31" ht="16.5" customHeight="1">
      <c r="B258" s="168"/>
      <c r="C258" s="387"/>
      <c r="D258" s="306"/>
      <c r="E258" s="417"/>
      <c r="F258" s="417"/>
      <c r="G258" s="417"/>
      <c r="H258" s="417"/>
      <c r="I258" s="417"/>
      <c r="J258" s="417"/>
      <c r="K258" s="417"/>
      <c r="L258" s="417"/>
      <c r="M258" s="417"/>
      <c r="N258" s="417"/>
      <c r="O258" s="417"/>
      <c r="P258" s="1"/>
      <c r="T258" s="14"/>
      <c r="U258" s="490" t="s">
        <v>313</v>
      </c>
      <c r="V258" s="490"/>
      <c r="W258" s="490"/>
      <c r="X258" s="490"/>
      <c r="Y258" s="490"/>
      <c r="Z258" s="1"/>
      <c r="AA258" s="14"/>
      <c r="AB258" s="381" t="b">
        <f>IF(Annexes!M21=TRUE,TRUE,FALSE)</f>
        <v>0</v>
      </c>
      <c r="AC258" s="1"/>
      <c r="AD258" s="1"/>
      <c r="AE258" s="13"/>
    </row>
    <row r="259" spans="1:31" ht="16.5" customHeight="1">
      <c r="A259" s="99"/>
      <c r="B259" s="103"/>
      <c r="C259" s="387"/>
      <c r="D259" s="523"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523"/>
      <c r="F259" s="523"/>
      <c r="G259" s="523"/>
      <c r="H259" s="523"/>
      <c r="I259" s="523"/>
      <c r="J259" s="523"/>
      <c r="K259" s="523"/>
      <c r="L259" s="523"/>
      <c r="M259" s="523"/>
      <c r="N259" s="523"/>
      <c r="O259" s="523"/>
      <c r="P259" s="1"/>
      <c r="T259" s="14"/>
      <c r="U259" s="525" t="s">
        <v>72</v>
      </c>
      <c r="V259" s="525"/>
      <c r="W259" s="525"/>
      <c r="X259" s="525"/>
      <c r="Y259" s="525"/>
      <c r="Z259" s="139"/>
      <c r="AA259" s="145"/>
      <c r="AB259" s="385" t="str">
        <f>IF('Mon Entreprise'!K8&lt;=Annexes!Q26,"Oui","Non")</f>
        <v>Oui</v>
      </c>
      <c r="AC259" s="139"/>
      <c r="AD259" s="1"/>
      <c r="AE259" s="13"/>
    </row>
    <row r="260" spans="1:31" ht="16.5" customHeight="1">
      <c r="B260" s="103"/>
      <c r="C260" s="387"/>
      <c r="D260" s="215" t="str">
        <f>IF(OR(AB254="OUI",AB258=TRUE),"- Sans ticket modérateur",IF(AND(OR(AB256="OUI",AB255="OUI"),OR(AB250&gt;=0.8,AB251&gt;=0.8,AB252&gt;=0.1)),"- La Perte de référence est plafonnée à 80 %, soit "&amp;ROUND(AB264,0)&amp;" €","- Sans ticket modérateur"))</f>
        <v>- Sans ticket modérateur</v>
      </c>
      <c r="E260" s="377"/>
      <c r="F260" s="377"/>
      <c r="G260" s="377"/>
      <c r="H260" s="377"/>
      <c r="I260" s="377"/>
      <c r="J260" s="377"/>
      <c r="K260" s="377"/>
      <c r="L260" s="377"/>
      <c r="M260" s="377"/>
      <c r="N260" s="377"/>
      <c r="O260" s="377"/>
      <c r="P260" s="1"/>
      <c r="T260" s="14"/>
      <c r="U260" s="525" t="s">
        <v>84</v>
      </c>
      <c r="V260" s="525"/>
      <c r="W260" s="525"/>
      <c r="X260" s="525"/>
      <c r="Y260" s="525"/>
      <c r="Z260" s="139"/>
      <c r="AA260" s="145"/>
      <c r="AB260" s="385">
        <f>IF('Mon Entreprise'!K8&gt;=Annexes!O20,IF(AB233&gt;=AB235,AB233,AB235),IF(AB233&gt;=AB234,AB233,AB234))</f>
        <v>0</v>
      </c>
      <c r="AC260" s="139"/>
      <c r="AD260" s="1"/>
      <c r="AE260" s="13"/>
    </row>
    <row r="261" spans="1:31" ht="16.5" customHeight="1" thickBot="1">
      <c r="B261" s="103"/>
      <c r="C261" s="387"/>
      <c r="D261" s="377"/>
      <c r="E261" s="377"/>
      <c r="F261" s="377"/>
      <c r="G261" s="377"/>
      <c r="H261" s="377"/>
      <c r="I261" s="377"/>
      <c r="J261" s="377"/>
      <c r="K261" s="377"/>
      <c r="L261" s="377"/>
      <c r="M261" s="377"/>
      <c r="N261" s="377"/>
      <c r="O261" s="377"/>
      <c r="P261" s="1"/>
      <c r="T261" s="14"/>
      <c r="U261" s="525" t="s">
        <v>85</v>
      </c>
      <c r="V261" s="525"/>
      <c r="W261" s="525"/>
      <c r="X261" s="525"/>
      <c r="Y261" s="525"/>
      <c r="Z261" s="139"/>
      <c r="AA261" s="145"/>
      <c r="AB261" s="385">
        <f>IF('Mon Entreprise'!K8&gt;=Annexes!O20,IF(AB233&gt;=AB235,AE233,AE235),IF(AB233&gt;=AB234,AE233,AE234))</f>
        <v>0</v>
      </c>
      <c r="AC261" s="139"/>
      <c r="AD261" s="1"/>
      <c r="AE261" s="13"/>
    </row>
    <row r="262" spans="1:31" ht="16.5" customHeight="1">
      <c r="B262" s="103"/>
      <c r="C262" s="387"/>
      <c r="D262" s="508"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509"/>
      <c r="F262" s="509"/>
      <c r="G262" s="509"/>
      <c r="H262" s="509"/>
      <c r="I262" s="509"/>
      <c r="J262" s="509"/>
      <c r="K262" s="509"/>
      <c r="L262" s="509"/>
      <c r="M262" s="509"/>
      <c r="N262" s="509"/>
      <c r="O262" s="510"/>
      <c r="P262" s="1"/>
      <c r="T262" s="14"/>
      <c r="U262" s="502" t="s">
        <v>74</v>
      </c>
      <c r="V262" s="502"/>
      <c r="W262" s="502"/>
      <c r="X262" s="502"/>
      <c r="Y262" s="502"/>
      <c r="Z262" s="139"/>
      <c r="AA262" s="145"/>
      <c r="AB262" s="385">
        <f>IF(OR(AB254="OUI",AB258=TRUE),1,IF(AND(OR(AB256="OUI",AB255="OUI"),OR(AB250&gt;=0.8,AB251&gt;=0.8,AB252&gt;=0.1)),0.8,1))</f>
        <v>1</v>
      </c>
      <c r="AC262" s="139"/>
      <c r="AD262" s="1"/>
      <c r="AE262" s="13"/>
    </row>
    <row r="263" spans="1:31" ht="16.5" customHeight="1">
      <c r="B263" s="173"/>
      <c r="C263" s="387"/>
      <c r="D263" s="511"/>
      <c r="E263" s="512"/>
      <c r="F263" s="512"/>
      <c r="G263" s="512"/>
      <c r="H263" s="512"/>
      <c r="I263" s="512"/>
      <c r="J263" s="512"/>
      <c r="K263" s="512"/>
      <c r="L263" s="512"/>
      <c r="M263" s="512"/>
      <c r="N263" s="512"/>
      <c r="O263" s="513"/>
      <c r="P263" s="1"/>
      <c r="T263" s="14"/>
      <c r="U263" s="502" t="s">
        <v>80</v>
      </c>
      <c r="V263" s="502"/>
      <c r="W263" s="502"/>
      <c r="X263" s="502"/>
      <c r="Y263" s="502"/>
      <c r="Z263" s="139"/>
      <c r="AA263" s="145"/>
      <c r="AB263" s="385">
        <f>IF('Mon Entreprise'!K8&gt;=Annexes!O20,IF(AB233&gt;=AB235,Y233,Y235),IF(AB233&gt;=AB234,Y233,Y234))</f>
        <v>0</v>
      </c>
      <c r="AC263" s="139"/>
      <c r="AD263" s="1"/>
      <c r="AE263" s="13"/>
    </row>
    <row r="264" spans="1:31" ht="16.5" customHeight="1">
      <c r="B264" s="103"/>
      <c r="C264" s="387"/>
      <c r="D264" s="511"/>
      <c r="E264" s="512"/>
      <c r="F264" s="512"/>
      <c r="G264" s="512"/>
      <c r="H264" s="512"/>
      <c r="I264" s="512"/>
      <c r="J264" s="512"/>
      <c r="K264" s="512"/>
      <c r="L264" s="512"/>
      <c r="M264" s="512"/>
      <c r="N264" s="512"/>
      <c r="O264" s="513"/>
      <c r="P264" s="1"/>
      <c r="T264" s="14"/>
      <c r="U264" s="490" t="s">
        <v>104</v>
      </c>
      <c r="V264" s="490"/>
      <c r="W264" s="490"/>
      <c r="X264" s="490"/>
      <c r="Y264" s="490"/>
      <c r="Z264" s="1"/>
      <c r="AA264" s="14"/>
      <c r="AB264" s="381">
        <f>IF(AB262=1,AB260,IF(AB260*AB262&gt;1500,IF(AB260&gt;1500,AB260*AB262,"Impossible"),IF(AB260&lt;1500,AB260,1500)))</f>
        <v>0</v>
      </c>
      <c r="AC264" s="1"/>
      <c r="AD264" s="1"/>
      <c r="AE264" s="13"/>
    </row>
    <row r="265" spans="1:31" ht="16.5" customHeight="1" thickBot="1">
      <c r="B265" s="103"/>
      <c r="C265" s="387"/>
      <c r="D265" s="514"/>
      <c r="E265" s="515"/>
      <c r="F265" s="515"/>
      <c r="G265" s="515"/>
      <c r="H265" s="515"/>
      <c r="I265" s="515"/>
      <c r="J265" s="515"/>
      <c r="K265" s="515"/>
      <c r="L265" s="515"/>
      <c r="M265" s="515"/>
      <c r="N265" s="515"/>
      <c r="O265" s="516"/>
      <c r="P265" s="1"/>
      <c r="T265" s="14"/>
      <c r="U265" s="381"/>
      <c r="V265" s="381"/>
      <c r="W265" s="381"/>
      <c r="X265" s="381"/>
      <c r="Y265" s="381"/>
      <c r="Z265" s="1"/>
      <c r="AA265" s="1"/>
      <c r="AB265" s="1"/>
      <c r="AC265" s="1"/>
      <c r="AD265" s="1"/>
      <c r="AE265" s="13"/>
    </row>
    <row r="266" spans="1:31" ht="16.5" customHeight="1">
      <c r="B266" s="103"/>
      <c r="C266" s="169"/>
      <c r="D266" s="174"/>
      <c r="E266" s="174"/>
      <c r="F266" s="174"/>
      <c r="G266" s="174"/>
      <c r="H266" s="174"/>
      <c r="I266" s="174"/>
      <c r="J266" s="174"/>
      <c r="K266" s="174"/>
      <c r="L266" s="174"/>
      <c r="M266" s="174"/>
      <c r="N266" s="174"/>
      <c r="O266" s="174"/>
      <c r="P266" s="1"/>
      <c r="T266" s="14"/>
      <c r="U266" s="490"/>
      <c r="V266" s="490"/>
      <c r="W266" s="490"/>
      <c r="X266" s="490"/>
      <c r="Y266" s="490"/>
      <c r="Z266" s="1"/>
      <c r="AA266" s="1"/>
      <c r="AB266" s="1"/>
      <c r="AC266" s="1"/>
      <c r="AD266" s="1"/>
      <c r="AE266" s="13"/>
    </row>
    <row r="267" spans="1:31" ht="16.5" customHeight="1">
      <c r="B267" s="103"/>
      <c r="C267" s="387"/>
      <c r="D267" s="377"/>
      <c r="E267" s="377"/>
      <c r="F267" s="377"/>
      <c r="G267" s="377"/>
      <c r="H267" s="377"/>
      <c r="I267" s="377"/>
      <c r="J267" s="377"/>
      <c r="K267" s="377"/>
      <c r="L267" s="377"/>
      <c r="M267" s="377"/>
      <c r="N267" s="377"/>
      <c r="O267" s="377"/>
      <c r="P267" s="1"/>
      <c r="T267" s="14"/>
      <c r="U267" s="381"/>
      <c r="V267" s="381"/>
      <c r="W267" s="381"/>
      <c r="X267" s="381"/>
      <c r="Y267" s="381"/>
      <c r="Z267" s="1"/>
      <c r="AA267" s="1"/>
      <c r="AB267" s="1"/>
      <c r="AC267" s="1"/>
      <c r="AD267" s="1"/>
      <c r="AE267" s="13"/>
    </row>
    <row r="268" spans="1:31" ht="16.5" customHeight="1">
      <c r="B268" s="103"/>
      <c r="C268" s="529" t="s">
        <v>420</v>
      </c>
      <c r="D268" s="529"/>
      <c r="E268" s="529"/>
      <c r="F268" s="529"/>
      <c r="G268" s="529"/>
      <c r="H268" s="529"/>
      <c r="I268" s="529"/>
      <c r="J268" s="529"/>
      <c r="K268" s="529"/>
      <c r="L268" s="529"/>
      <c r="M268" s="529"/>
      <c r="N268" s="529"/>
      <c r="O268" s="529"/>
      <c r="P268" s="1"/>
      <c r="T268" s="14"/>
      <c r="U268" s="1"/>
      <c r="V268" s="1"/>
      <c r="W268" s="1"/>
      <c r="X268" s="1"/>
      <c r="Y268" s="1"/>
      <c r="Z268" s="1"/>
      <c r="AA268" s="1"/>
      <c r="AB268" s="1"/>
      <c r="AC268" s="1"/>
      <c r="AD268" s="1"/>
      <c r="AE268" s="13"/>
    </row>
    <row r="269" spans="1:31" ht="16.5" customHeight="1">
      <c r="B269" s="103"/>
      <c r="C269" s="529"/>
      <c r="D269" s="529"/>
      <c r="E269" s="529"/>
      <c r="F269" s="529"/>
      <c r="G269" s="529"/>
      <c r="H269" s="529"/>
      <c r="I269" s="529"/>
      <c r="J269" s="529"/>
      <c r="K269" s="529"/>
      <c r="L269" s="529"/>
      <c r="M269" s="529"/>
      <c r="N269" s="529"/>
      <c r="O269" s="529"/>
      <c r="P269" s="1"/>
      <c r="T269" s="14"/>
      <c r="U269" s="1"/>
      <c r="V269" s="1"/>
      <c r="W269" s="1"/>
      <c r="X269" s="1"/>
      <c r="Y269" s="1"/>
      <c r="Z269" s="1"/>
      <c r="AA269" s="1"/>
      <c r="AB269" s="1"/>
      <c r="AC269" s="1"/>
      <c r="AD269" s="1"/>
      <c r="AE269" s="13"/>
    </row>
    <row r="270" spans="1:31" ht="16.5" customHeight="1">
      <c r="B270" s="103"/>
      <c r="C270" s="529"/>
      <c r="D270" s="529"/>
      <c r="E270" s="529"/>
      <c r="F270" s="529"/>
      <c r="G270" s="529"/>
      <c r="H270" s="529"/>
      <c r="I270" s="529"/>
      <c r="J270" s="529"/>
      <c r="K270" s="529"/>
      <c r="L270" s="529"/>
      <c r="M270" s="529"/>
      <c r="N270" s="529"/>
      <c r="O270" s="529"/>
      <c r="P270" s="1"/>
      <c r="T270" s="14"/>
      <c r="U270" s="1"/>
      <c r="V270" s="1"/>
      <c r="W270" s="1"/>
      <c r="X270" s="1"/>
      <c r="Y270" s="1"/>
      <c r="Z270" s="1"/>
      <c r="AA270" s="1"/>
      <c r="AB270" s="1"/>
      <c r="AC270" s="1"/>
      <c r="AD270" s="1"/>
      <c r="AE270" s="13"/>
    </row>
    <row r="271" spans="1:31" ht="16.5" customHeight="1">
      <c r="B271" s="173"/>
      <c r="C271" s="529"/>
      <c r="D271" s="529"/>
      <c r="E271" s="529"/>
      <c r="F271" s="529"/>
      <c r="G271" s="529"/>
      <c r="H271" s="529"/>
      <c r="I271" s="529"/>
      <c r="J271" s="529"/>
      <c r="K271" s="529"/>
      <c r="L271" s="529"/>
      <c r="M271" s="529"/>
      <c r="N271" s="529"/>
      <c r="O271" s="529"/>
      <c r="P271" s="1"/>
      <c r="T271" s="14"/>
      <c r="U271" s="502" t="s">
        <v>82</v>
      </c>
      <c r="V271" s="502"/>
      <c r="W271" s="502"/>
      <c r="X271" s="502"/>
      <c r="Y271" s="502"/>
      <c r="Z271" s="68"/>
      <c r="AA271" s="1"/>
      <c r="AB271" s="1">
        <f>IFERROR(IF(AB241="Non",0,IF(AB244&gt;=0.5,IF(AB243&gt;Annexes!O5,Annexes!O5,ROUND(AB243,0)),0)),0)</f>
        <v>0</v>
      </c>
      <c r="AC271" s="1"/>
      <c r="AD271" s="1"/>
      <c r="AE271" s="13"/>
    </row>
    <row r="272" spans="1:31" ht="16.5" customHeight="1">
      <c r="B272" s="173"/>
      <c r="C272" s="387"/>
      <c r="D272" s="306"/>
      <c r="E272" s="523"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523"/>
      <c r="G272" s="523"/>
      <c r="H272" s="523"/>
      <c r="I272" s="523"/>
      <c r="J272" s="523"/>
      <c r="K272" s="523"/>
      <c r="L272" s="523"/>
      <c r="M272" s="523"/>
      <c r="N272" s="523"/>
      <c r="O272" s="523"/>
      <c r="P272" s="1"/>
      <c r="T272" s="14"/>
      <c r="U272" s="502" t="s">
        <v>81</v>
      </c>
      <c r="V272" s="502"/>
      <c r="W272" s="502"/>
      <c r="X272" s="502"/>
      <c r="Y272" s="502"/>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customHeight="1">
      <c r="B273" s="173"/>
      <c r="C273" s="387"/>
      <c r="D273" s="306"/>
      <c r="E273" s="523"/>
      <c r="F273" s="523"/>
      <c r="G273" s="523"/>
      <c r="H273" s="523"/>
      <c r="I273" s="523"/>
      <c r="J273" s="523"/>
      <c r="K273" s="523"/>
      <c r="L273" s="523"/>
      <c r="M273" s="523"/>
      <c r="N273" s="523"/>
      <c r="O273" s="523"/>
      <c r="P273" s="1"/>
      <c r="T273" s="14"/>
      <c r="U273" s="502" t="s">
        <v>399</v>
      </c>
      <c r="V273" s="502"/>
      <c r="W273" s="502"/>
      <c r="X273" s="502"/>
      <c r="Y273" s="502"/>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customHeight="1">
      <c r="B274" s="173"/>
      <c r="C274" s="387"/>
      <c r="D274" s="306"/>
      <c r="E274" s="523"/>
      <c r="F274" s="523"/>
      <c r="G274" s="523"/>
      <c r="H274" s="523"/>
      <c r="I274" s="523"/>
      <c r="J274" s="523"/>
      <c r="K274" s="523"/>
      <c r="L274" s="523"/>
      <c r="M274" s="523"/>
      <c r="N274" s="523"/>
      <c r="O274" s="523"/>
      <c r="P274" s="1"/>
      <c r="T274" s="14"/>
      <c r="U274" s="1"/>
      <c r="V274" s="1"/>
      <c r="W274" s="1"/>
      <c r="X274" s="1"/>
      <c r="Y274" s="1"/>
      <c r="Z274" s="1"/>
      <c r="AA274" s="1"/>
      <c r="AB274" s="1"/>
      <c r="AC274" s="1"/>
      <c r="AD274" s="1"/>
      <c r="AE274" s="13"/>
    </row>
    <row r="275" spans="2:31" ht="16.5" customHeight="1">
      <c r="B275" s="173"/>
      <c r="C275" s="387"/>
      <c r="D275" s="417"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417"/>
      <c r="F275" s="417"/>
      <c r="G275" s="417"/>
      <c r="H275" s="417"/>
      <c r="I275" s="417"/>
      <c r="J275" s="417"/>
      <c r="K275" s="417"/>
      <c r="L275" s="417"/>
      <c r="M275" s="417"/>
      <c r="N275" s="417"/>
      <c r="O275" s="417"/>
      <c r="P275" s="377"/>
      <c r="Q275" s="377"/>
      <c r="T275" s="14"/>
      <c r="U275" s="1"/>
      <c r="V275" s="1"/>
      <c r="W275" s="1"/>
      <c r="X275" s="1"/>
      <c r="Y275" s="1"/>
      <c r="Z275" s="1"/>
      <c r="AA275" s="1"/>
      <c r="AB275" s="1"/>
      <c r="AC275" s="1"/>
      <c r="AD275" s="1"/>
      <c r="AE275" s="13"/>
    </row>
    <row r="276" spans="2:31" ht="16.5" customHeight="1">
      <c r="B276" s="103"/>
      <c r="C276" s="387"/>
      <c r="D276" s="523"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523"/>
      <c r="F276" s="523"/>
      <c r="G276" s="523"/>
      <c r="H276" s="523"/>
      <c r="I276" s="523"/>
      <c r="J276" s="523"/>
      <c r="K276" s="523"/>
      <c r="L276" s="523"/>
      <c r="M276" s="523"/>
      <c r="N276" s="523"/>
      <c r="O276" s="523"/>
      <c r="P276" s="377"/>
      <c r="Q276" s="377"/>
      <c r="T276" s="14"/>
      <c r="U276" s="1"/>
      <c r="V276" s="1"/>
      <c r="W276" s="1"/>
      <c r="X276" s="1"/>
      <c r="Y276" s="1"/>
      <c r="Z276" s="1"/>
      <c r="AA276" s="1"/>
      <c r="AB276" s="1"/>
      <c r="AC276" s="1"/>
      <c r="AD276" s="1"/>
      <c r="AE276" s="13"/>
    </row>
    <row r="277" spans="2:31" ht="16.5" customHeight="1">
      <c r="B277" s="168"/>
      <c r="C277" s="387"/>
      <c r="D277" s="523"/>
      <c r="E277" s="523"/>
      <c r="F277" s="523"/>
      <c r="G277" s="523"/>
      <c r="H277" s="523"/>
      <c r="I277" s="523"/>
      <c r="J277" s="523"/>
      <c r="K277" s="523"/>
      <c r="L277" s="523"/>
      <c r="M277" s="523"/>
      <c r="N277" s="523"/>
      <c r="O277" s="523"/>
      <c r="P277" s="377"/>
      <c r="Q277" s="377"/>
      <c r="T277" s="14"/>
      <c r="U277" s="1"/>
      <c r="V277" s="1"/>
      <c r="W277" s="1"/>
      <c r="X277" s="1"/>
      <c r="Y277" s="1"/>
      <c r="Z277" s="1"/>
      <c r="AA277" s="1"/>
      <c r="AB277" s="1"/>
      <c r="AC277" s="1"/>
      <c r="AD277" s="1"/>
      <c r="AE277" s="13"/>
    </row>
    <row r="278" spans="2:31" ht="16.5" customHeight="1" thickBot="1">
      <c r="B278" s="168"/>
      <c r="C278" s="387"/>
      <c r="D278" s="205"/>
      <c r="E278" s="377"/>
      <c r="F278" s="377"/>
      <c r="G278" s="377"/>
      <c r="H278" s="377"/>
      <c r="I278" s="377"/>
      <c r="J278" s="377"/>
      <c r="K278" s="377"/>
      <c r="L278" s="377"/>
      <c r="M278" s="377"/>
      <c r="N278" s="377"/>
      <c r="O278" s="377"/>
      <c r="P278" s="377"/>
      <c r="Q278" s="377"/>
      <c r="T278" s="14"/>
      <c r="U278" s="1"/>
      <c r="V278" s="1"/>
      <c r="W278" s="1"/>
      <c r="X278" s="1"/>
      <c r="Y278" s="1"/>
      <c r="Z278" s="1"/>
      <c r="AA278" s="1"/>
      <c r="AB278" s="1"/>
      <c r="AC278" s="1"/>
      <c r="AD278" s="1"/>
      <c r="AE278" s="13"/>
    </row>
    <row r="279" spans="2:31" ht="16.5" customHeight="1">
      <c r="B279" s="103"/>
      <c r="C279" s="180"/>
      <c r="D279" s="526"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509"/>
      <c r="F279" s="509"/>
      <c r="G279" s="509"/>
      <c r="H279" s="509"/>
      <c r="I279" s="509"/>
      <c r="J279" s="509"/>
      <c r="K279" s="509"/>
      <c r="L279" s="509"/>
      <c r="M279" s="509"/>
      <c r="N279" s="509"/>
      <c r="O279" s="510"/>
      <c r="P279" s="377"/>
      <c r="Q279" s="377"/>
      <c r="T279" s="14"/>
      <c r="U279" s="1"/>
      <c r="V279" s="1"/>
      <c r="W279" s="1"/>
      <c r="X279" s="1"/>
      <c r="Y279" s="1"/>
      <c r="Z279" s="1"/>
      <c r="AA279" s="1"/>
      <c r="AB279" s="1"/>
      <c r="AC279" s="1"/>
      <c r="AD279" s="1"/>
      <c r="AE279" s="13"/>
    </row>
    <row r="280" spans="2:31" ht="16.5" customHeight="1">
      <c r="B280" s="103"/>
      <c r="C280" s="180"/>
      <c r="D280" s="511"/>
      <c r="E280" s="512"/>
      <c r="F280" s="512"/>
      <c r="G280" s="512"/>
      <c r="H280" s="512"/>
      <c r="I280" s="512"/>
      <c r="J280" s="512"/>
      <c r="K280" s="512"/>
      <c r="L280" s="512"/>
      <c r="M280" s="512"/>
      <c r="N280" s="512"/>
      <c r="O280" s="513"/>
      <c r="P280" s="377"/>
      <c r="Q280" s="377"/>
      <c r="T280" s="14"/>
      <c r="U280" s="1"/>
      <c r="V280" s="1"/>
      <c r="W280" s="1"/>
      <c r="X280" s="1"/>
      <c r="Y280" s="1"/>
      <c r="Z280" s="1"/>
      <c r="AA280" s="1"/>
      <c r="AB280" s="1"/>
      <c r="AC280" s="1"/>
      <c r="AD280" s="1"/>
      <c r="AE280" s="13"/>
    </row>
    <row r="281" spans="2:31" ht="16.5" customHeight="1">
      <c r="B281" s="103"/>
      <c r="C281" s="180"/>
      <c r="D281" s="511"/>
      <c r="E281" s="512"/>
      <c r="F281" s="512"/>
      <c r="G281" s="512"/>
      <c r="H281" s="512"/>
      <c r="I281" s="512"/>
      <c r="J281" s="512"/>
      <c r="K281" s="512"/>
      <c r="L281" s="512"/>
      <c r="M281" s="512"/>
      <c r="N281" s="512"/>
      <c r="O281" s="513"/>
      <c r="P281" s="175"/>
      <c r="Q281" s="175"/>
      <c r="T281" s="14"/>
      <c r="U281" s="1"/>
      <c r="V281" s="1"/>
      <c r="W281" s="1"/>
      <c r="X281" s="1"/>
      <c r="Y281" s="1"/>
      <c r="Z281" s="1"/>
      <c r="AA281" s="1"/>
      <c r="AB281" s="1"/>
      <c r="AC281" s="1"/>
      <c r="AD281" s="1"/>
      <c r="AE281" s="13"/>
    </row>
    <row r="282" spans="2:31" ht="16.5" customHeight="1" thickBot="1">
      <c r="B282" s="103"/>
      <c r="C282" s="180"/>
      <c r="D282" s="514"/>
      <c r="E282" s="515"/>
      <c r="F282" s="515"/>
      <c r="G282" s="515"/>
      <c r="H282" s="515"/>
      <c r="I282" s="515"/>
      <c r="J282" s="515"/>
      <c r="K282" s="515"/>
      <c r="L282" s="515"/>
      <c r="M282" s="515"/>
      <c r="N282" s="515"/>
      <c r="O282" s="516"/>
      <c r="T282" s="14"/>
      <c r="U282" s="1"/>
      <c r="V282" s="1"/>
      <c r="W282" s="1"/>
      <c r="X282" s="1"/>
      <c r="Y282" s="1"/>
      <c r="Z282" s="1"/>
      <c r="AA282" s="1"/>
      <c r="AB282" s="1"/>
      <c r="AC282" s="1"/>
      <c r="AD282" s="1"/>
      <c r="AE282" s="13"/>
    </row>
    <row r="283" spans="2:31" ht="16.5" customHeight="1">
      <c r="B283" s="5"/>
      <c r="C283" s="5"/>
      <c r="D283" s="391"/>
      <c r="E283" s="391"/>
      <c r="F283" s="391"/>
      <c r="G283" s="391"/>
      <c r="H283" s="391"/>
      <c r="I283" s="391"/>
      <c r="J283" s="391"/>
      <c r="K283" s="391"/>
      <c r="L283" s="391"/>
      <c r="M283" s="391"/>
      <c r="N283" s="391"/>
      <c r="O283" s="391"/>
      <c r="P283" s="177"/>
      <c r="Q283" s="177"/>
      <c r="T283" s="14"/>
      <c r="U283" s="1"/>
      <c r="V283" s="1"/>
      <c r="W283" s="1"/>
      <c r="X283" s="1"/>
      <c r="Y283" s="1"/>
      <c r="Z283" s="1"/>
      <c r="AA283" s="1"/>
      <c r="AB283" s="1"/>
      <c r="AC283" s="1"/>
      <c r="AD283" s="1"/>
      <c r="AE283" s="13"/>
    </row>
    <row r="284" spans="2:31">
      <c r="B284" s="5"/>
      <c r="C284" s="5"/>
      <c r="D284" s="391"/>
      <c r="E284" s="391"/>
      <c r="F284" s="391"/>
      <c r="G284" s="391"/>
      <c r="H284" s="391"/>
      <c r="I284" s="391"/>
      <c r="J284" s="391"/>
      <c r="K284" s="391"/>
      <c r="L284" s="391"/>
      <c r="M284" s="391"/>
      <c r="N284" s="391"/>
      <c r="O284" s="391"/>
      <c r="P284" s="177"/>
      <c r="Q284" s="177"/>
      <c r="T284" s="14"/>
      <c r="U284" s="1"/>
      <c r="V284" s="1"/>
      <c r="W284" s="1"/>
      <c r="X284" s="1"/>
      <c r="Y284" s="1"/>
      <c r="Z284" s="1"/>
      <c r="AA284" s="1"/>
      <c r="AB284" s="1"/>
      <c r="AC284" s="1"/>
      <c r="AD284" s="1"/>
      <c r="AE284" s="13"/>
    </row>
    <row r="285" spans="2:31">
      <c r="B285" s="5"/>
      <c r="C285" s="5"/>
      <c r="D285" s="391"/>
      <c r="E285" s="391"/>
      <c r="F285" s="391"/>
      <c r="G285" s="391"/>
      <c r="H285" s="391"/>
      <c r="I285" s="391"/>
      <c r="J285" s="391"/>
      <c r="K285" s="391"/>
      <c r="L285" s="391"/>
      <c r="M285" s="391"/>
      <c r="N285" s="391"/>
      <c r="O285" s="391"/>
      <c r="P285" s="177"/>
      <c r="Q285" s="177"/>
      <c r="T285" s="15"/>
      <c r="U285" s="10"/>
      <c r="V285" s="10"/>
      <c r="W285" s="10"/>
      <c r="X285" s="10"/>
      <c r="Y285" s="10"/>
      <c r="Z285" s="10"/>
      <c r="AA285" s="10"/>
      <c r="AB285" s="10"/>
      <c r="AC285" s="10"/>
      <c r="AD285" s="10"/>
      <c r="AE285" s="4"/>
    </row>
    <row r="286" spans="2:31" ht="16.5" thickBot="1">
      <c r="B286" s="220"/>
      <c r="C286" s="488" t="s">
        <v>382</v>
      </c>
      <c r="D286" s="488"/>
      <c r="E286" s="488"/>
      <c r="F286" s="488"/>
      <c r="G286" s="488"/>
      <c r="H286" s="488"/>
      <c r="I286" s="221"/>
      <c r="J286" s="221"/>
      <c r="K286" s="221"/>
      <c r="L286" s="221"/>
      <c r="M286" s="221"/>
      <c r="N286" s="221"/>
      <c r="O286" s="221"/>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customHeight="1">
      <c r="B288" s="103"/>
      <c r="C288" s="489" t="s">
        <v>390</v>
      </c>
      <c r="D288" s="489"/>
      <c r="E288" s="489"/>
      <c r="F288" s="489"/>
      <c r="G288" s="489"/>
      <c r="H288" s="489"/>
      <c r="I288" s="489"/>
      <c r="J288" s="489"/>
      <c r="K288" s="489"/>
      <c r="L288" s="489"/>
      <c r="M288" s="489"/>
      <c r="N288" s="489"/>
      <c r="O288" s="489"/>
      <c r="P288" s="1"/>
      <c r="T288" s="25"/>
      <c r="U288" s="490" t="s">
        <v>20</v>
      </c>
      <c r="V288" s="490"/>
      <c r="W288" s="490"/>
      <c r="X288" s="1"/>
      <c r="Y288" s="390" t="s">
        <v>6</v>
      </c>
      <c r="Z288" s="390"/>
      <c r="AA288" s="390"/>
      <c r="AB288" s="390" t="s">
        <v>23</v>
      </c>
      <c r="AC288" s="390"/>
      <c r="AD288" s="390"/>
      <c r="AE288" s="26" t="s">
        <v>24</v>
      </c>
    </row>
    <row r="289" spans="2:31" ht="15.75" customHeight="1">
      <c r="B289" s="103"/>
      <c r="C289" s="387"/>
      <c r="D289" s="60" t="s">
        <v>383</v>
      </c>
      <c r="E289" s="387"/>
      <c r="F289" s="387"/>
      <c r="G289" s="387"/>
      <c r="H289" s="387"/>
      <c r="I289" s="387"/>
      <c r="J289" s="387"/>
      <c r="K289" s="387"/>
      <c r="L289" s="387"/>
      <c r="M289" s="387"/>
      <c r="N289" s="387"/>
      <c r="O289" s="387"/>
      <c r="P289" s="1"/>
      <c r="T289" s="25"/>
      <c r="U289" s="390"/>
      <c r="V289" s="390"/>
      <c r="W289" s="390"/>
      <c r="X289" s="1"/>
      <c r="Y289" s="390"/>
      <c r="Z289" s="390"/>
      <c r="AA289" s="390"/>
      <c r="AB289" s="390"/>
      <c r="AC289" s="390"/>
      <c r="AD289" s="390"/>
      <c r="AE289" s="26"/>
    </row>
    <row r="290" spans="2:31" ht="16.5" hidden="1" thickBot="1">
      <c r="B290" s="103"/>
      <c r="C290" s="387"/>
      <c r="D290" s="60"/>
      <c r="E290" s="387"/>
      <c r="F290" s="387"/>
      <c r="G290" s="387"/>
      <c r="H290" s="387"/>
      <c r="I290" s="387"/>
      <c r="J290" s="387"/>
      <c r="K290" s="387"/>
      <c r="L290" s="387"/>
      <c r="M290" s="387"/>
      <c r="N290" s="387"/>
      <c r="O290" s="387"/>
      <c r="P290" s="1"/>
      <c r="T290" s="491" t="s">
        <v>386</v>
      </c>
      <c r="U290" s="490"/>
      <c r="V290" s="490"/>
      <c r="W290" s="490"/>
      <c r="X290" s="1"/>
      <c r="Y290" s="7">
        <f>'Mon Entreprise'!I126</f>
        <v>0</v>
      </c>
      <c r="Z290" s="133"/>
      <c r="AA290" s="21"/>
      <c r="AB290" s="7">
        <f>IF('Mon Entreprise'!I126-'Mon Entreprise'!M126&lt;0,0,'Mon Entreprise'!I126-'Mon Entreprise'!M126)</f>
        <v>0</v>
      </c>
      <c r="AC290" s="13"/>
      <c r="AD290" s="1"/>
      <c r="AE290" s="27">
        <f>IFERROR(1-'Mon Entreprise'!M126/'Mon Entreprise'!I126,0)</f>
        <v>0</v>
      </c>
    </row>
    <row r="291" spans="2:31" ht="15.75" hidden="1">
      <c r="B291" s="103"/>
      <c r="C291" s="387"/>
      <c r="D291" s="492"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93"/>
      <c r="F291" s="493"/>
      <c r="G291" s="493"/>
      <c r="H291" s="493"/>
      <c r="I291" s="493"/>
      <c r="J291" s="493"/>
      <c r="K291" s="493"/>
      <c r="L291" s="493"/>
      <c r="M291" s="493"/>
      <c r="N291" s="493"/>
      <c r="O291" s="494"/>
      <c r="P291" s="1"/>
      <c r="T291" s="491" t="s">
        <v>25</v>
      </c>
      <c r="U291" s="490"/>
      <c r="V291" s="490"/>
      <c r="W291" s="490"/>
      <c r="X291" s="1"/>
      <c r="Y291" s="7">
        <f>'Mon Entreprise'!I98</f>
        <v>0</v>
      </c>
      <c r="Z291" s="133"/>
      <c r="AA291" s="21"/>
      <c r="AB291" s="7">
        <f>IF('Mon Entreprise'!I98-'Mon Entreprise'!M126&lt;0,0,'Mon Entreprise'!I98-'Mon Entreprise'!M126)</f>
        <v>0</v>
      </c>
      <c r="AC291" s="36"/>
      <c r="AD291" s="1"/>
      <c r="AE291" s="27">
        <f>IFERROR(1-'Mon Entreprise'!M126/'Mon Entreprise'!I98,0)</f>
        <v>0</v>
      </c>
    </row>
    <row r="292" spans="2:31" ht="15.75" hidden="1" customHeight="1">
      <c r="B292" s="103"/>
      <c r="C292" s="387"/>
      <c r="D292" s="495"/>
      <c r="E292" s="496"/>
      <c r="F292" s="496"/>
      <c r="G292" s="496"/>
      <c r="H292" s="496"/>
      <c r="I292" s="496"/>
      <c r="J292" s="496"/>
      <c r="K292" s="496"/>
      <c r="L292" s="496"/>
      <c r="M292" s="496"/>
      <c r="N292" s="496"/>
      <c r="O292" s="497"/>
      <c r="P292" s="1"/>
      <c r="T292" s="501" t="s">
        <v>22</v>
      </c>
      <c r="U292" s="502"/>
      <c r="V292" s="502"/>
      <c r="W292" s="502"/>
      <c r="X292" s="139"/>
      <c r="Y292" s="140" t="str">
        <f>IF('Mon Entreprise'!I155="","NC",'Mon Entreprise'!I155)</f>
        <v>NC</v>
      </c>
      <c r="Z292" s="191"/>
      <c r="AA292" s="192"/>
      <c r="AB292" s="143" t="str">
        <f>IFERROR(IF('Mon Entreprise'!I155-'Mon Entreprise'!M126&lt;0,0,'Mon Entreprise'!I155-'Mon Entreprise'!M126),"NC")</f>
        <v>NC</v>
      </c>
      <c r="AC292" s="193"/>
      <c r="AD292" s="139"/>
      <c r="AE292" s="146" t="str">
        <f>IFERROR(1-'Mon Entreprise'!M126/'Mon Entreprise'!I155,"NC")</f>
        <v>NC</v>
      </c>
    </row>
    <row r="293" spans="2:31" ht="15.75" hidden="1" customHeight="1">
      <c r="B293" s="103"/>
      <c r="C293" s="387"/>
      <c r="D293" s="495"/>
      <c r="E293" s="496"/>
      <c r="F293" s="496"/>
      <c r="G293" s="496"/>
      <c r="H293" s="496"/>
      <c r="I293" s="496"/>
      <c r="J293" s="496"/>
      <c r="K293" s="496"/>
      <c r="L293" s="496"/>
      <c r="M293" s="496"/>
      <c r="N293" s="496"/>
      <c r="O293" s="497"/>
      <c r="P293" s="1"/>
      <c r="T293" s="388"/>
      <c r="U293" s="385"/>
      <c r="V293" s="385"/>
      <c r="W293" s="385"/>
      <c r="X293" s="139"/>
      <c r="Y293" s="140"/>
      <c r="Z293" s="141"/>
      <c r="AA293" s="192"/>
      <c r="AB293" s="143"/>
      <c r="AC293" s="385"/>
      <c r="AD293" s="139"/>
      <c r="AE293" s="146"/>
    </row>
    <row r="294" spans="2:31" ht="15.75" hidden="1" customHeight="1">
      <c r="B294" s="103"/>
      <c r="C294" s="387"/>
      <c r="D294" s="495"/>
      <c r="E294" s="496"/>
      <c r="F294" s="496"/>
      <c r="G294" s="496"/>
      <c r="H294" s="496"/>
      <c r="I294" s="496"/>
      <c r="J294" s="496"/>
      <c r="K294" s="496"/>
      <c r="L294" s="496"/>
      <c r="M294" s="496"/>
      <c r="N294" s="496"/>
      <c r="O294" s="497"/>
      <c r="P294" s="1"/>
      <c r="T294" s="14"/>
      <c r="U294" s="1"/>
      <c r="V294" s="1"/>
      <c r="W294" s="1"/>
      <c r="X294" s="1"/>
      <c r="Y294" s="1"/>
      <c r="Z294" s="1"/>
      <c r="AA294" s="1"/>
      <c r="AB294" s="1"/>
      <c r="AC294" s="1"/>
      <c r="AD294" s="1"/>
      <c r="AE294" s="13"/>
    </row>
    <row r="295" spans="2:31" ht="15.75" hidden="1" customHeight="1">
      <c r="B295" s="103"/>
      <c r="C295" s="387"/>
      <c r="D295" s="495"/>
      <c r="E295" s="496"/>
      <c r="F295" s="496"/>
      <c r="G295" s="496"/>
      <c r="H295" s="496"/>
      <c r="I295" s="496"/>
      <c r="J295" s="496"/>
      <c r="K295" s="496"/>
      <c r="L295" s="496"/>
      <c r="M295" s="496"/>
      <c r="N295" s="496"/>
      <c r="O295" s="497"/>
      <c r="P295" s="1"/>
      <c r="T295" s="14"/>
      <c r="AC295" s="1"/>
      <c r="AD295" s="1"/>
      <c r="AE295" s="13"/>
    </row>
    <row r="296" spans="2:31" ht="15.75" hidden="1" customHeight="1" thickBot="1">
      <c r="B296" s="103"/>
      <c r="C296" s="387"/>
      <c r="D296" s="498"/>
      <c r="E296" s="499"/>
      <c r="F296" s="499"/>
      <c r="G296" s="499"/>
      <c r="H296" s="499"/>
      <c r="I296" s="499"/>
      <c r="J296" s="499"/>
      <c r="K296" s="499"/>
      <c r="L296" s="499"/>
      <c r="M296" s="499"/>
      <c r="N296" s="499"/>
      <c r="O296" s="500"/>
      <c r="P296" s="1"/>
      <c r="T296" s="14"/>
      <c r="AC296" s="1"/>
      <c r="AD296" s="1"/>
      <c r="AE296" s="13"/>
    </row>
    <row r="297" spans="2:31" ht="16.5" hidden="1" customHeight="1">
      <c r="B297" s="103"/>
      <c r="C297" s="387"/>
      <c r="D297" s="330" t="s">
        <v>397</v>
      </c>
      <c r="E297" s="387"/>
      <c r="F297" s="387"/>
      <c r="G297" s="387"/>
      <c r="H297" s="387"/>
      <c r="I297" s="387"/>
      <c r="J297" s="387"/>
      <c r="K297" s="387"/>
      <c r="L297" s="387"/>
      <c r="M297" s="387"/>
      <c r="N297" s="387"/>
      <c r="O297" s="387"/>
      <c r="P297" s="1"/>
      <c r="T297" s="14"/>
      <c r="AC297" s="1"/>
      <c r="AD297" s="1"/>
      <c r="AE297" s="13"/>
    </row>
    <row r="298" spans="2:31" ht="15.75">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c r="B299" s="103"/>
      <c r="C299" s="387"/>
      <c r="D299" s="60"/>
      <c r="E299" s="387"/>
      <c r="F299" s="387"/>
      <c r="G299" s="387"/>
      <c r="H299" s="387"/>
      <c r="I299" s="387"/>
      <c r="J299" s="387"/>
      <c r="K299" s="387"/>
      <c r="L299" s="387"/>
      <c r="M299" s="387"/>
      <c r="N299" s="387"/>
      <c r="O299" s="387"/>
      <c r="P299" s="1"/>
      <c r="T299" s="14"/>
      <c r="U299" s="1"/>
      <c r="V299" s="1"/>
      <c r="W299" s="1"/>
      <c r="X299" s="1"/>
      <c r="Y299" s="1"/>
      <c r="Z299" s="1"/>
      <c r="AA299" s="1"/>
      <c r="AB299" s="1"/>
      <c r="AC299" s="1"/>
      <c r="AD299" s="1"/>
      <c r="AE299" s="13"/>
    </row>
    <row r="300" spans="2:31" ht="15.75">
      <c r="B300" s="103"/>
      <c r="C300" s="387" t="s">
        <v>391</v>
      </c>
      <c r="D300" s="60"/>
      <c r="E300" s="387"/>
      <c r="F300" s="387"/>
      <c r="G300" s="387"/>
      <c r="H300" s="387"/>
      <c r="I300" s="387"/>
      <c r="J300" s="387"/>
      <c r="K300" s="387"/>
      <c r="L300" s="387"/>
      <c r="M300" s="387"/>
      <c r="N300" s="387"/>
      <c r="O300" s="387"/>
      <c r="P300" s="1"/>
      <c r="T300" s="14"/>
      <c r="U300" s="1"/>
      <c r="V300" s="1"/>
      <c r="W300" s="1"/>
      <c r="X300" s="1"/>
      <c r="Y300" s="1"/>
      <c r="Z300" s="1"/>
      <c r="AA300" s="1"/>
      <c r="AB300" s="1"/>
      <c r="AC300" s="1"/>
      <c r="AD300" s="1"/>
      <c r="AE300" s="13"/>
    </row>
    <row r="301" spans="2:31" ht="15.75">
      <c r="B301" s="103"/>
      <c r="C301" s="380" t="s">
        <v>392</v>
      </c>
      <c r="D301" s="60"/>
      <c r="E301" s="387"/>
      <c r="F301" s="387"/>
      <c r="G301" s="387"/>
      <c r="H301" s="387"/>
      <c r="I301" s="387"/>
      <c r="J301" s="387"/>
      <c r="K301" s="387"/>
      <c r="L301" s="387"/>
      <c r="M301" s="387"/>
      <c r="N301" s="387"/>
      <c r="O301" s="387"/>
      <c r="P301" s="1"/>
      <c r="T301" s="14"/>
      <c r="U301" s="506" t="s">
        <v>72</v>
      </c>
      <c r="V301" s="506"/>
      <c r="W301" s="506"/>
      <c r="X301" s="506"/>
      <c r="Y301" s="506"/>
      <c r="Z301" s="1"/>
      <c r="AA301" s="14"/>
      <c r="AB301" s="385" t="str">
        <f>IF('Mon Entreprise'!K8&lt;=Annexes!Q29,"Oui","Non")</f>
        <v>Oui</v>
      </c>
      <c r="AC301" s="1"/>
      <c r="AD301" s="1"/>
      <c r="AE301" s="13"/>
    </row>
    <row r="302" spans="2:31" ht="15.75">
      <c r="B302" s="168"/>
      <c r="C302" s="387"/>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387"/>
      <c r="F302" s="387"/>
      <c r="G302" s="387"/>
      <c r="H302" s="387"/>
      <c r="I302" s="387"/>
      <c r="J302" s="387"/>
      <c r="K302" s="387"/>
      <c r="L302" s="387"/>
      <c r="M302" s="387"/>
      <c r="N302" s="387"/>
      <c r="O302" s="387"/>
      <c r="P302" s="1"/>
      <c r="T302" s="14"/>
      <c r="U302" s="386"/>
      <c r="V302" s="506" t="s">
        <v>393</v>
      </c>
      <c r="W302" s="506"/>
      <c r="X302" s="506"/>
      <c r="Y302" s="506"/>
      <c r="Z302" s="1"/>
      <c r="AA302" s="14"/>
      <c r="AB302" s="385">
        <f>IF('Mon Entreprise'!K8&gt;=Annexes!O20,IF(Y290&gt;=Y292,Y290,Y292),IF(Y290&gt;=Y291,Y290,Y291))</f>
        <v>0</v>
      </c>
      <c r="AC302" s="1"/>
      <c r="AD302" s="1"/>
      <c r="AE302" s="13"/>
    </row>
    <row r="303" spans="2:31" ht="15.75">
      <c r="B303" s="168"/>
      <c r="C303" s="387"/>
      <c r="D303" s="507"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507"/>
      <c r="F303" s="507"/>
      <c r="G303" s="507"/>
      <c r="H303" s="507"/>
      <c r="I303" s="507"/>
      <c r="J303" s="507"/>
      <c r="K303" s="507"/>
      <c r="L303" s="507"/>
      <c r="M303" s="507"/>
      <c r="N303" s="507"/>
      <c r="O303" s="507"/>
      <c r="P303" s="1"/>
      <c r="T303" s="14"/>
      <c r="U303" s="506" t="s">
        <v>84</v>
      </c>
      <c r="V303" s="506"/>
      <c r="W303" s="506"/>
      <c r="X303" s="506"/>
      <c r="Y303" s="506"/>
      <c r="Z303" s="1"/>
      <c r="AA303" s="14"/>
      <c r="AB303" s="381">
        <f>IF('Mon Entreprise'!K8&gt;=Annexes!O20,IF(AB290&gt;=AB292,AB290,AB292),IF(AB290&gt;=AB291,AB290,AB291))</f>
        <v>0</v>
      </c>
      <c r="AC303" s="1"/>
      <c r="AD303" s="1"/>
      <c r="AE303" s="13"/>
    </row>
    <row r="304" spans="2:31" ht="15.75">
      <c r="B304" s="168"/>
      <c r="C304" s="387"/>
      <c r="D304" s="507"/>
      <c r="E304" s="507"/>
      <c r="F304" s="507"/>
      <c r="G304" s="507"/>
      <c r="H304" s="507"/>
      <c r="I304" s="507"/>
      <c r="J304" s="507"/>
      <c r="K304" s="507"/>
      <c r="L304" s="507"/>
      <c r="M304" s="507"/>
      <c r="N304" s="507"/>
      <c r="O304" s="507"/>
      <c r="P304" s="1"/>
      <c r="T304" s="14"/>
      <c r="U304" s="506" t="s">
        <v>85</v>
      </c>
      <c r="V304" s="506"/>
      <c r="W304" s="506"/>
      <c r="X304" s="506"/>
      <c r="Y304" s="506"/>
      <c r="Z304" s="1"/>
      <c r="AA304" s="14"/>
      <c r="AB304" s="19">
        <f>IF('Mon Entreprise'!K8&gt;=Annexes!O20,IF(AB290&gt;=AB292,AE290,AE292),IF(AB290&gt;=AB291,AE290,AE291))</f>
        <v>0</v>
      </c>
      <c r="AC304" s="1"/>
      <c r="AD304" s="1"/>
      <c r="AE304" s="13"/>
    </row>
    <row r="305" spans="1:31" ht="16.5" thickBot="1">
      <c r="B305" s="103"/>
      <c r="C305" s="387"/>
      <c r="D305" s="60"/>
      <c r="E305" s="387"/>
      <c r="F305" s="387"/>
      <c r="G305" s="387"/>
      <c r="H305" s="387"/>
      <c r="I305" s="387"/>
      <c r="J305" s="387"/>
      <c r="K305" s="387"/>
      <c r="L305" s="387"/>
      <c r="M305" s="387"/>
      <c r="N305" s="387"/>
      <c r="O305" s="387"/>
      <c r="P305" s="1"/>
      <c r="T305" s="14"/>
      <c r="U305" s="1"/>
      <c r="V305" s="1"/>
      <c r="W305" s="1"/>
      <c r="X305" s="1"/>
      <c r="Y305" s="1"/>
      <c r="Z305" s="1"/>
      <c r="AA305" s="1"/>
      <c r="AB305" s="1"/>
      <c r="AC305" s="1"/>
      <c r="AD305" s="1"/>
      <c r="AE305" s="13"/>
    </row>
    <row r="306" spans="1:31" ht="15.75">
      <c r="B306" s="168"/>
      <c r="C306" s="387"/>
      <c r="D306" s="508"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509"/>
      <c r="F306" s="509"/>
      <c r="G306" s="509"/>
      <c r="H306" s="509"/>
      <c r="I306" s="509"/>
      <c r="J306" s="509"/>
      <c r="K306" s="509"/>
      <c r="L306" s="509"/>
      <c r="M306" s="509"/>
      <c r="N306" s="509"/>
      <c r="O306" s="510"/>
      <c r="P306" s="1"/>
      <c r="T306" s="14"/>
      <c r="U306" s="1"/>
      <c r="V306" s="1"/>
      <c r="W306" s="1"/>
      <c r="X306" s="1"/>
      <c r="Y306" s="1"/>
      <c r="Z306" s="1"/>
      <c r="AA306" s="1"/>
      <c r="AB306" s="1"/>
      <c r="AC306" s="1"/>
      <c r="AD306" s="1"/>
      <c r="AE306" s="13"/>
    </row>
    <row r="307" spans="1:31" ht="15.75" customHeight="1">
      <c r="B307" s="168"/>
      <c r="C307" s="387"/>
      <c r="D307" s="511"/>
      <c r="E307" s="512"/>
      <c r="F307" s="512"/>
      <c r="G307" s="512"/>
      <c r="H307" s="512"/>
      <c r="I307" s="512"/>
      <c r="J307" s="512"/>
      <c r="K307" s="512"/>
      <c r="L307" s="512"/>
      <c r="M307" s="512"/>
      <c r="N307" s="512"/>
      <c r="O307" s="513"/>
      <c r="P307" s="1"/>
      <c r="T307" s="14"/>
      <c r="U307" s="1"/>
      <c r="V307" s="1"/>
      <c r="W307" s="1"/>
      <c r="X307" s="1"/>
      <c r="Y307" s="1"/>
      <c r="Z307" s="1"/>
      <c r="AA307" s="1"/>
      <c r="AB307" s="1"/>
      <c r="AC307" s="1"/>
      <c r="AD307" s="1"/>
      <c r="AE307" s="13"/>
    </row>
    <row r="308" spans="1:31" ht="15.75" customHeight="1">
      <c r="B308" s="103"/>
      <c r="C308" s="387"/>
      <c r="D308" s="511"/>
      <c r="E308" s="512"/>
      <c r="F308" s="512"/>
      <c r="G308" s="512"/>
      <c r="H308" s="512"/>
      <c r="I308" s="512"/>
      <c r="J308" s="512"/>
      <c r="K308" s="512"/>
      <c r="L308" s="512"/>
      <c r="M308" s="512"/>
      <c r="N308" s="512"/>
      <c r="O308" s="513"/>
      <c r="P308" s="1"/>
      <c r="T308" s="14"/>
      <c r="U308" s="1"/>
      <c r="V308" s="1"/>
      <c r="W308" s="1"/>
      <c r="X308" s="1"/>
      <c r="Y308" s="1"/>
      <c r="Z308" s="1"/>
      <c r="AA308" s="1"/>
      <c r="AB308" s="1"/>
      <c r="AC308" s="1"/>
      <c r="AD308" s="1"/>
      <c r="AE308" s="13"/>
    </row>
    <row r="309" spans="1:31" ht="15.75" customHeight="1" thickBot="1">
      <c r="B309" s="103"/>
      <c r="C309" s="387"/>
      <c r="D309" s="514"/>
      <c r="E309" s="515"/>
      <c r="F309" s="515"/>
      <c r="G309" s="515"/>
      <c r="H309" s="515"/>
      <c r="I309" s="515"/>
      <c r="J309" s="515"/>
      <c r="K309" s="515"/>
      <c r="L309" s="515"/>
      <c r="M309" s="515"/>
      <c r="N309" s="515"/>
      <c r="O309" s="516"/>
      <c r="P309" s="1"/>
      <c r="T309" s="14"/>
      <c r="U309" s="1"/>
      <c r="V309" s="1"/>
      <c r="W309" s="1"/>
      <c r="X309" s="1"/>
      <c r="Y309" s="1"/>
      <c r="Z309" s="1"/>
      <c r="AA309" s="1"/>
      <c r="AB309" s="1"/>
      <c r="AC309" s="1"/>
      <c r="AD309" s="1"/>
      <c r="AE309" s="13"/>
    </row>
    <row r="310" spans="1:31" ht="16.5" customHeight="1">
      <c r="B310" s="103"/>
      <c r="C310" s="169"/>
      <c r="D310" s="517" t="s">
        <v>395</v>
      </c>
      <c r="E310" s="517"/>
      <c r="F310" s="517"/>
      <c r="G310" s="517"/>
      <c r="H310" s="517"/>
      <c r="I310" s="517"/>
      <c r="J310" s="517"/>
      <c r="K310" s="517"/>
      <c r="L310" s="517"/>
      <c r="M310" s="517"/>
      <c r="N310" s="517"/>
      <c r="O310" s="517"/>
      <c r="P310" s="1"/>
      <c r="T310" s="518" t="s">
        <v>4</v>
      </c>
      <c r="U310" s="519"/>
      <c r="V310" s="519"/>
      <c r="W310" s="519"/>
      <c r="X310" s="519"/>
      <c r="Y310" s="519"/>
      <c r="Z310" s="139"/>
      <c r="AA310" s="145"/>
      <c r="AB310" s="194">
        <f>IFERROR(IF('Mon Entreprise'!K8&gt;=Annexes!Q18,0,1-'Mon Entreprise'!M118/2/AB302),0)</f>
        <v>0</v>
      </c>
      <c r="AC310" s="1"/>
      <c r="AD310" s="1"/>
      <c r="AE310" s="13"/>
    </row>
    <row r="311" spans="1:31" ht="16.5" customHeight="1">
      <c r="B311" s="103"/>
      <c r="C311" s="387"/>
      <c r="D311" s="306"/>
      <c r="E311" s="306"/>
      <c r="F311" s="306"/>
      <c r="G311" s="306"/>
      <c r="H311" s="306"/>
      <c r="I311" s="306"/>
      <c r="J311" s="306"/>
      <c r="K311" s="306"/>
      <c r="L311" s="306"/>
      <c r="M311" s="306"/>
      <c r="N311" s="306"/>
      <c r="O311" s="306"/>
      <c r="P311" s="1"/>
      <c r="T311" s="110"/>
      <c r="U311" s="520" t="s">
        <v>102</v>
      </c>
      <c r="V311" s="520"/>
      <c r="W311" s="520"/>
      <c r="X311" s="520"/>
      <c r="Y311" s="520"/>
      <c r="Z311" s="139"/>
      <c r="AA311" s="145"/>
      <c r="AB311" s="194">
        <f>IFERROR(IF('Mon Entreprise'!K8&gt;Annexes!Q29,0,IF('Mon Entreprise'!K8&gt;Annexes!Q26,1,1-'Mon Entreprise'!M114/AB302)),0)</f>
        <v>0</v>
      </c>
      <c r="AC311" s="1"/>
      <c r="AD311" s="1"/>
      <c r="AE311" s="13"/>
    </row>
    <row r="312" spans="1:31" ht="16.5" customHeight="1">
      <c r="B312" s="103"/>
      <c r="C312" s="505" t="s">
        <v>396</v>
      </c>
      <c r="D312" s="505"/>
      <c r="E312" s="505"/>
      <c r="F312" s="505"/>
      <c r="G312" s="505"/>
      <c r="H312" s="505"/>
      <c r="I312" s="505"/>
      <c r="J312" s="505"/>
      <c r="K312" s="505"/>
      <c r="L312" s="505"/>
      <c r="M312" s="505"/>
      <c r="N312" s="505"/>
      <c r="O312" s="505"/>
      <c r="P312" s="1"/>
      <c r="T312" s="110"/>
      <c r="U312" s="520" t="s">
        <v>109</v>
      </c>
      <c r="V312" s="520"/>
      <c r="W312" s="520"/>
      <c r="X312" s="520"/>
      <c r="Y312" s="520"/>
      <c r="Z312" s="139"/>
      <c r="AA312" s="145"/>
      <c r="AB312" s="194">
        <f>IFERROR(IF(Annexes!O27&gt;'Mon Entreprise'!K8,1-'Mon Entreprise'!M98/'Mon Entreprise'!I98,0),0)</f>
        <v>0</v>
      </c>
      <c r="AC312" s="1"/>
      <c r="AD312" s="1"/>
      <c r="AE312" s="13"/>
    </row>
    <row r="313" spans="1:31" ht="16.5" customHeight="1">
      <c r="B313" s="103"/>
      <c r="C313" s="505"/>
      <c r="D313" s="505"/>
      <c r="E313" s="505"/>
      <c r="F313" s="505"/>
      <c r="G313" s="505"/>
      <c r="H313" s="505"/>
      <c r="I313" s="505"/>
      <c r="J313" s="505"/>
      <c r="K313" s="505"/>
      <c r="L313" s="505"/>
      <c r="M313" s="505"/>
      <c r="N313" s="505"/>
      <c r="O313" s="505"/>
      <c r="P313" s="1"/>
      <c r="T313" s="110"/>
      <c r="U313" s="382"/>
      <c r="V313" s="382"/>
      <c r="W313" s="382"/>
      <c r="X313" s="382"/>
      <c r="Y313" s="382"/>
      <c r="Z313" s="139"/>
      <c r="AA313" s="145"/>
      <c r="AB313" s="194"/>
      <c r="AC313" s="1"/>
      <c r="AD313" s="1"/>
      <c r="AE313" s="13"/>
    </row>
    <row r="314" spans="1:31" ht="16.5" customHeight="1">
      <c r="B314" s="103"/>
      <c r="C314" s="505"/>
      <c r="D314" s="505"/>
      <c r="E314" s="505"/>
      <c r="F314" s="505"/>
      <c r="G314" s="505"/>
      <c r="H314" s="505"/>
      <c r="I314" s="505"/>
      <c r="J314" s="505"/>
      <c r="K314" s="505"/>
      <c r="L314" s="505"/>
      <c r="M314" s="505"/>
      <c r="N314" s="505"/>
      <c r="O314" s="505"/>
      <c r="P314" s="1"/>
      <c r="T314" s="14"/>
      <c r="U314" s="521" t="s">
        <v>8</v>
      </c>
      <c r="V314" s="521"/>
      <c r="W314" s="521"/>
      <c r="X314" s="521"/>
      <c r="Y314" s="521"/>
      <c r="Z314" s="1"/>
      <c r="AA314" s="14"/>
      <c r="AB314" s="381" t="str">
        <f>IF((AND(Annexes!F5&gt;1,Annexes!F5&lt;=Annexes!H6)),"OUI","NON")</f>
        <v>NON</v>
      </c>
      <c r="AC314" s="1"/>
      <c r="AD314" s="1"/>
      <c r="AE314" s="13"/>
    </row>
    <row r="315" spans="1:31" ht="16.5" customHeight="1">
      <c r="B315" s="103"/>
      <c r="C315" s="505"/>
      <c r="D315" s="505"/>
      <c r="E315" s="505"/>
      <c r="F315" s="505"/>
      <c r="G315" s="505"/>
      <c r="H315" s="505"/>
      <c r="I315" s="505"/>
      <c r="J315" s="505"/>
      <c r="K315" s="505"/>
      <c r="L315" s="505"/>
      <c r="M315" s="505"/>
      <c r="N315" s="505"/>
      <c r="O315" s="505"/>
      <c r="P315" s="1"/>
      <c r="T315" s="14"/>
      <c r="U315" s="383"/>
      <c r="V315" s="383"/>
      <c r="W315" s="383"/>
      <c r="X315" s="383"/>
      <c r="Y315" s="383" t="s">
        <v>9</v>
      </c>
      <c r="Z315" s="1"/>
      <c r="AA315" s="14"/>
      <c r="AB315" s="381" t="str">
        <f>IF(AND(Annexes!F7&gt;1,Annexes!F7&lt;=Annexes!H8),"OUI","NON")</f>
        <v>NON</v>
      </c>
      <c r="AC315" s="1"/>
      <c r="AD315" s="1"/>
      <c r="AE315" s="13"/>
    </row>
    <row r="316" spans="1:31" ht="16.5" customHeight="1">
      <c r="B316" s="103"/>
      <c r="C316" s="387"/>
      <c r="D316" s="306"/>
      <c r="E316" s="417"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417"/>
      <c r="G316" s="417"/>
      <c r="H316" s="417"/>
      <c r="I316" s="417"/>
      <c r="J316" s="417"/>
      <c r="K316" s="417"/>
      <c r="L316" s="417"/>
      <c r="M316" s="417"/>
      <c r="N316" s="417"/>
      <c r="O316" s="417"/>
      <c r="P316" s="1"/>
      <c r="T316" s="491" t="s">
        <v>454</v>
      </c>
      <c r="U316" s="490"/>
      <c r="V316" s="490"/>
      <c r="W316" s="490"/>
      <c r="X316" s="490"/>
      <c r="Y316" s="490"/>
      <c r="Z316" s="1"/>
      <c r="AA316" s="14"/>
      <c r="AB316" s="381" t="str">
        <f>IF(OR(Annexes!M17=TRUE,Annexes!M23=TRUE,Annexes!M24=TRUE),"OUI","NON")</f>
        <v>NON</v>
      </c>
      <c r="AC316" s="1"/>
      <c r="AD316" s="1"/>
      <c r="AE316" s="13"/>
    </row>
    <row r="317" spans="1:31" ht="16.5" customHeight="1">
      <c r="B317" s="103"/>
      <c r="C317" s="387"/>
      <c r="D317" s="306"/>
      <c r="E317" s="417"/>
      <c r="F317" s="417"/>
      <c r="G317" s="417"/>
      <c r="H317" s="417"/>
      <c r="I317" s="417"/>
      <c r="J317" s="417"/>
      <c r="K317" s="417"/>
      <c r="L317" s="417"/>
      <c r="M317" s="417"/>
      <c r="N317" s="417"/>
      <c r="O317" s="417"/>
      <c r="P317" s="1"/>
      <c r="T317" s="14"/>
      <c r="U317" s="490" t="s">
        <v>313</v>
      </c>
      <c r="V317" s="490"/>
      <c r="W317" s="490"/>
      <c r="X317" s="490"/>
      <c r="Y317" s="490"/>
      <c r="Z317" s="1"/>
      <c r="AA317" s="14"/>
      <c r="AB317" s="381" t="b">
        <f>IF(Annexes!M26=TRUE,TRUE,FALSE)</f>
        <v>0</v>
      </c>
      <c r="AC317" s="1"/>
      <c r="AD317" s="1"/>
      <c r="AE317" s="13"/>
    </row>
    <row r="318" spans="1:31" ht="16.5" customHeight="1">
      <c r="B318" s="168"/>
      <c r="C318" s="387"/>
      <c r="D318" s="306"/>
      <c r="E318" s="417"/>
      <c r="F318" s="417"/>
      <c r="G318" s="417"/>
      <c r="H318" s="417"/>
      <c r="I318" s="417"/>
      <c r="J318" s="417"/>
      <c r="K318" s="417"/>
      <c r="L318" s="417"/>
      <c r="M318" s="417"/>
      <c r="N318" s="417"/>
      <c r="O318" s="417"/>
      <c r="P318" s="1"/>
      <c r="T318" s="14"/>
      <c r="U318" s="490" t="s">
        <v>394</v>
      </c>
      <c r="V318" s="490"/>
      <c r="W318" s="490"/>
      <c r="X318" s="490"/>
      <c r="Y318" s="490"/>
      <c r="Z318" s="1"/>
      <c r="AA318" s="14"/>
      <c r="AB318" s="381" t="b">
        <f>IF(Annexes!M27=TRUE,TRUE,FALSE)</f>
        <v>0</v>
      </c>
      <c r="AC318" s="1"/>
      <c r="AD318" s="1"/>
      <c r="AE318" s="13"/>
    </row>
    <row r="319" spans="1:31" ht="16.5" customHeight="1">
      <c r="A319" s="99"/>
      <c r="B319" s="103"/>
      <c r="C319" s="387"/>
      <c r="D319" s="523"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523"/>
      <c r="F319" s="523"/>
      <c r="G319" s="523"/>
      <c r="H319" s="523"/>
      <c r="I319" s="523"/>
      <c r="J319" s="523"/>
      <c r="K319" s="523"/>
      <c r="L319" s="523"/>
      <c r="M319" s="523"/>
      <c r="N319" s="523"/>
      <c r="O319" s="523"/>
      <c r="P319" s="1"/>
      <c r="T319" s="14"/>
      <c r="U319" s="381"/>
      <c r="V319" s="381"/>
      <c r="W319" s="381"/>
      <c r="X319" s="381"/>
      <c r="Y319" s="381"/>
      <c r="Z319" s="1"/>
      <c r="AA319" s="14"/>
      <c r="AB319" s="381"/>
      <c r="AC319" s="1"/>
      <c r="AD319" s="1"/>
      <c r="AE319" s="13"/>
    </row>
    <row r="320" spans="1:31" ht="16.5" customHeight="1">
      <c r="A320" s="99"/>
      <c r="B320" s="103"/>
      <c r="C320" s="387"/>
      <c r="D320" s="52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524"/>
      <c r="F320" s="524"/>
      <c r="G320" s="524"/>
      <c r="H320" s="524"/>
      <c r="I320" s="524"/>
      <c r="J320" s="524"/>
      <c r="K320" s="524"/>
      <c r="L320" s="524"/>
      <c r="M320" s="524"/>
      <c r="N320" s="524"/>
      <c r="O320" s="524"/>
      <c r="P320" s="1"/>
      <c r="T320" s="14"/>
      <c r="U320" s="525" t="s">
        <v>72</v>
      </c>
      <c r="V320" s="525"/>
      <c r="W320" s="525"/>
      <c r="X320" s="525"/>
      <c r="Y320" s="525"/>
      <c r="Z320" s="139"/>
      <c r="AA320" s="145"/>
      <c r="AB320" s="385" t="str">
        <f>IF(AB301="Oui","Oui","Non")</f>
        <v>Oui</v>
      </c>
      <c r="AC320" s="139"/>
      <c r="AD320" s="1"/>
      <c r="AE320" s="13"/>
    </row>
    <row r="321" spans="1:31" ht="16.5" customHeight="1">
      <c r="A321" s="99"/>
      <c r="B321" s="103"/>
      <c r="C321" s="387"/>
      <c r="D321" s="524"/>
      <c r="E321" s="524"/>
      <c r="F321" s="524"/>
      <c r="G321" s="524"/>
      <c r="H321" s="524"/>
      <c r="I321" s="524"/>
      <c r="J321" s="524"/>
      <c r="K321" s="524"/>
      <c r="L321" s="524"/>
      <c r="M321" s="524"/>
      <c r="N321" s="524"/>
      <c r="O321" s="524"/>
      <c r="P321" s="1"/>
      <c r="T321" s="14"/>
      <c r="U321" s="525" t="s">
        <v>84</v>
      </c>
      <c r="V321" s="525"/>
      <c r="W321" s="525"/>
      <c r="X321" s="525"/>
      <c r="Y321" s="525"/>
      <c r="Z321" s="139"/>
      <c r="AA321" s="145"/>
      <c r="AB321" s="385">
        <f>IF('Mon Entreprise'!K8&gt;=Annexes!O20,IF(AB290&gt;=AB292,AB290,AB292),IF(AB290&gt;=AB291,AB290,AB291))</f>
        <v>0</v>
      </c>
      <c r="AC321" s="139"/>
      <c r="AD321" s="1"/>
      <c r="AE321" s="13"/>
    </row>
    <row r="322" spans="1:31" ht="16.5" customHeight="1">
      <c r="B322" s="103"/>
      <c r="C322" s="387"/>
      <c r="D322" s="215" t="str">
        <f>IF(OR(AB314="OUI",AB317=TRUE),"- Sans ticket modérateur",IF(AND(OR(AB316="OUI",AB315="OUI"),OR(AB310&gt;=0.8,AB311&gt;=0.8,AB312&gt;=0.1)),"- La Perte de référence est plafonnée à 80 %, soit "&amp;ROUND(AB325,0)&amp;" €","- Sans ticket modérateur"))</f>
        <v>- Sans ticket modérateur</v>
      </c>
      <c r="E322" s="377"/>
      <c r="F322" s="377"/>
      <c r="G322" s="377"/>
      <c r="H322" s="377"/>
      <c r="I322" s="377"/>
      <c r="J322" s="377"/>
      <c r="K322" s="377"/>
      <c r="L322" s="377"/>
      <c r="M322" s="377"/>
      <c r="N322" s="377"/>
      <c r="O322" s="377"/>
      <c r="P322" s="1"/>
      <c r="T322" s="14"/>
      <c r="U322" s="525" t="s">
        <v>85</v>
      </c>
      <c r="V322" s="525"/>
      <c r="W322" s="525"/>
      <c r="X322" s="525"/>
      <c r="Y322" s="525"/>
      <c r="Z322" s="139"/>
      <c r="AA322" s="145"/>
      <c r="AB322" s="385">
        <f>IF('Mon Entreprise'!K8&gt;=Annexes!O20,IF(AB290&gt;=AB292,AE290,AE292),IF(AB290&gt;=AB291,AE290,AE291))</f>
        <v>0</v>
      </c>
      <c r="AC322" s="139"/>
      <c r="AD322" s="1"/>
      <c r="AE322" s="13"/>
    </row>
    <row r="323" spans="1:31" ht="16.5" customHeight="1" thickBot="1">
      <c r="B323" s="103"/>
      <c r="C323" s="387"/>
      <c r="D323" s="377"/>
      <c r="E323" s="377"/>
      <c r="F323" s="377"/>
      <c r="G323" s="377"/>
      <c r="H323" s="377"/>
      <c r="I323" s="377"/>
      <c r="J323" s="377"/>
      <c r="K323" s="377"/>
      <c r="L323" s="377"/>
      <c r="M323" s="377"/>
      <c r="N323" s="377"/>
      <c r="O323" s="377"/>
      <c r="P323" s="1"/>
      <c r="T323" s="14"/>
      <c r="U323" s="502" t="s">
        <v>74</v>
      </c>
      <c r="V323" s="502"/>
      <c r="W323" s="502"/>
      <c r="X323" s="502"/>
      <c r="Y323" s="502"/>
      <c r="Z323" s="139"/>
      <c r="AA323" s="145"/>
      <c r="AB323" s="385">
        <f>IF(OR(AB314="OUI",AB317=TRUE),1,IF(AND(OR(AB316="OUI",AB315="OUI"),OR(AB310&gt;=0.8,AB311&gt;=0.8,AB312&gt;=0.1)),0.8,1))</f>
        <v>1</v>
      </c>
      <c r="AC323" s="139"/>
      <c r="AD323" s="1"/>
      <c r="AE323" s="13"/>
    </row>
    <row r="324" spans="1:31" ht="16.5" customHeight="1">
      <c r="B324" s="103"/>
      <c r="C324" s="387"/>
      <c r="D324" s="508"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509"/>
      <c r="F324" s="509"/>
      <c r="G324" s="509"/>
      <c r="H324" s="509"/>
      <c r="I324" s="509"/>
      <c r="J324" s="509"/>
      <c r="K324" s="509"/>
      <c r="L324" s="509"/>
      <c r="M324" s="509"/>
      <c r="N324" s="509"/>
      <c r="O324" s="510"/>
      <c r="P324" s="1"/>
      <c r="T324" s="14"/>
      <c r="U324" s="502" t="s">
        <v>80</v>
      </c>
      <c r="V324" s="502"/>
      <c r="W324" s="502"/>
      <c r="X324" s="502"/>
      <c r="Y324" s="502"/>
      <c r="Z324" s="139"/>
      <c r="AA324" s="145"/>
      <c r="AB324" s="385">
        <f>IF('Mon Entreprise'!K8&gt;=Annexes!O20,IF(AB290&gt;=AB292,Y290,Y292),IF(AB290&gt;=AB291,Y290,Y291))</f>
        <v>0</v>
      </c>
      <c r="AC324" s="139"/>
      <c r="AD324" s="1"/>
      <c r="AE324" s="13"/>
    </row>
    <row r="325" spans="1:31" ht="16.5" customHeight="1">
      <c r="B325" s="173"/>
      <c r="C325" s="387"/>
      <c r="D325" s="511"/>
      <c r="E325" s="512"/>
      <c r="F325" s="512"/>
      <c r="G325" s="512"/>
      <c r="H325" s="512"/>
      <c r="I325" s="512"/>
      <c r="J325" s="512"/>
      <c r="K325" s="512"/>
      <c r="L325" s="512"/>
      <c r="M325" s="512"/>
      <c r="N325" s="512"/>
      <c r="O325" s="513"/>
      <c r="P325" s="1"/>
      <c r="T325" s="14"/>
      <c r="U325" s="490" t="s">
        <v>104</v>
      </c>
      <c r="V325" s="490"/>
      <c r="W325" s="490"/>
      <c r="X325" s="490"/>
      <c r="Y325" s="490"/>
      <c r="Z325" s="1"/>
      <c r="AA325" s="14"/>
      <c r="AB325" s="381">
        <f>IF(AB323=1,AB321,IF(AB321*AB323&gt;1500,IF(AB321&gt;1500,AB321*AB323,"Impossible"),IF(AB321&lt;1500,AB321,1500)))</f>
        <v>0</v>
      </c>
      <c r="AC325" s="1"/>
      <c r="AD325" s="1"/>
      <c r="AE325" s="13"/>
    </row>
    <row r="326" spans="1:31" ht="16.5" customHeight="1">
      <c r="B326" s="103"/>
      <c r="C326" s="387"/>
      <c r="D326" s="511"/>
      <c r="E326" s="512"/>
      <c r="F326" s="512"/>
      <c r="G326" s="512"/>
      <c r="H326" s="512"/>
      <c r="I326" s="512"/>
      <c r="J326" s="512"/>
      <c r="K326" s="512"/>
      <c r="L326" s="512"/>
      <c r="M326" s="512"/>
      <c r="N326" s="512"/>
      <c r="O326" s="513"/>
      <c r="P326" s="1"/>
      <c r="T326" s="14"/>
      <c r="U326" s="381"/>
      <c r="V326" s="381"/>
      <c r="W326" s="381"/>
      <c r="X326" s="381"/>
      <c r="Y326" s="381"/>
      <c r="Z326" s="1"/>
      <c r="AA326" s="1"/>
      <c r="AB326" s="1"/>
      <c r="AC326" s="1"/>
      <c r="AD326" s="1"/>
      <c r="AE326" s="13"/>
    </row>
    <row r="327" spans="1:31" ht="16.5" customHeight="1" thickBot="1">
      <c r="B327" s="103"/>
      <c r="C327" s="387"/>
      <c r="D327" s="514"/>
      <c r="E327" s="515"/>
      <c r="F327" s="515"/>
      <c r="G327" s="515"/>
      <c r="H327" s="515"/>
      <c r="I327" s="515"/>
      <c r="J327" s="515"/>
      <c r="K327" s="515"/>
      <c r="L327" s="515"/>
      <c r="M327" s="515"/>
      <c r="N327" s="515"/>
      <c r="O327" s="516"/>
      <c r="P327" s="1"/>
      <c r="T327" s="14"/>
      <c r="U327" s="490"/>
      <c r="V327" s="490"/>
      <c r="W327" s="490"/>
      <c r="X327" s="490"/>
      <c r="Y327" s="490"/>
      <c r="Z327" s="1"/>
      <c r="AA327" s="1"/>
      <c r="AB327" s="1"/>
      <c r="AC327" s="1"/>
      <c r="AD327" s="1"/>
      <c r="AE327" s="13"/>
    </row>
    <row r="328" spans="1:31" ht="16.5" customHeight="1">
      <c r="B328" s="103"/>
      <c r="C328" s="169"/>
      <c r="D328" s="174"/>
      <c r="E328" s="174"/>
      <c r="F328" s="174"/>
      <c r="G328" s="174"/>
      <c r="H328" s="174"/>
      <c r="I328" s="174"/>
      <c r="J328" s="174"/>
      <c r="K328" s="174"/>
      <c r="L328" s="174"/>
      <c r="M328" s="174"/>
      <c r="N328" s="174"/>
      <c r="O328" s="174"/>
      <c r="P328" s="1"/>
      <c r="T328" s="14"/>
      <c r="U328" s="381"/>
      <c r="V328" s="381"/>
      <c r="W328" s="381"/>
      <c r="X328" s="381"/>
      <c r="Y328" s="381"/>
      <c r="Z328" s="1"/>
      <c r="AA328" s="1"/>
      <c r="AB328" s="1"/>
      <c r="AC328" s="1"/>
      <c r="AD328" s="1"/>
      <c r="AE328" s="13"/>
    </row>
    <row r="329" spans="1:31" ht="16.5" customHeight="1">
      <c r="B329" s="103"/>
      <c r="C329" s="387"/>
      <c r="D329" s="377"/>
      <c r="E329" s="377"/>
      <c r="F329" s="377"/>
      <c r="G329" s="377"/>
      <c r="H329" s="377"/>
      <c r="I329" s="377"/>
      <c r="J329" s="377"/>
      <c r="K329" s="377"/>
      <c r="L329" s="377"/>
      <c r="M329" s="377"/>
      <c r="N329" s="377"/>
      <c r="O329" s="377"/>
      <c r="P329" s="1"/>
      <c r="T329" s="14"/>
      <c r="U329" s="1"/>
      <c r="V329" s="1"/>
      <c r="W329" s="1"/>
      <c r="X329" s="1"/>
      <c r="Y329" s="1"/>
      <c r="Z329" s="1"/>
      <c r="AA329" s="1"/>
      <c r="AB329" s="1"/>
      <c r="AC329" s="1"/>
      <c r="AD329" s="1"/>
      <c r="AE329" s="13"/>
    </row>
    <row r="330" spans="1:31" ht="16.5" customHeight="1">
      <c r="B330" s="103"/>
      <c r="C330" s="529" t="s">
        <v>398</v>
      </c>
      <c r="D330" s="529"/>
      <c r="E330" s="529"/>
      <c r="F330" s="529"/>
      <c r="G330" s="529"/>
      <c r="H330" s="529"/>
      <c r="I330" s="529"/>
      <c r="J330" s="529"/>
      <c r="K330" s="529"/>
      <c r="L330" s="529"/>
      <c r="M330" s="529"/>
      <c r="N330" s="529"/>
      <c r="O330" s="529"/>
      <c r="P330" s="1"/>
      <c r="T330" s="14"/>
      <c r="U330" s="1"/>
      <c r="V330" s="1"/>
      <c r="W330" s="1"/>
      <c r="X330" s="1"/>
      <c r="Y330" s="1"/>
      <c r="Z330" s="1"/>
      <c r="AA330" s="1"/>
      <c r="AB330" s="1"/>
      <c r="AC330" s="1"/>
      <c r="AD330" s="1"/>
      <c r="AE330" s="13"/>
    </row>
    <row r="331" spans="1:31" ht="16.5" customHeight="1">
      <c r="B331" s="103"/>
      <c r="C331" s="529"/>
      <c r="D331" s="529"/>
      <c r="E331" s="529"/>
      <c r="F331" s="529"/>
      <c r="G331" s="529"/>
      <c r="H331" s="529"/>
      <c r="I331" s="529"/>
      <c r="J331" s="529"/>
      <c r="K331" s="529"/>
      <c r="L331" s="529"/>
      <c r="M331" s="529"/>
      <c r="N331" s="529"/>
      <c r="O331" s="529"/>
      <c r="P331" s="1"/>
      <c r="T331" s="14"/>
      <c r="U331" s="1"/>
      <c r="V331" s="1"/>
      <c r="W331" s="1"/>
      <c r="X331" s="1"/>
      <c r="Y331" s="1"/>
      <c r="Z331" s="1"/>
      <c r="AA331" s="1"/>
      <c r="AB331" s="1"/>
      <c r="AC331" s="1"/>
      <c r="AD331" s="1"/>
      <c r="AE331" s="13"/>
    </row>
    <row r="332" spans="1:31" ht="16.5" customHeight="1">
      <c r="B332" s="103"/>
      <c r="C332" s="529"/>
      <c r="D332" s="529"/>
      <c r="E332" s="529"/>
      <c r="F332" s="529"/>
      <c r="G332" s="529"/>
      <c r="H332" s="529"/>
      <c r="I332" s="529"/>
      <c r="J332" s="529"/>
      <c r="K332" s="529"/>
      <c r="L332" s="529"/>
      <c r="M332" s="529"/>
      <c r="N332" s="529"/>
      <c r="O332" s="529"/>
      <c r="P332" s="1"/>
      <c r="T332" s="14"/>
      <c r="U332" s="1"/>
      <c r="V332" s="1"/>
      <c r="W332" s="1"/>
      <c r="X332" s="1"/>
      <c r="Y332" s="1"/>
      <c r="Z332" s="1"/>
      <c r="AA332" s="1"/>
      <c r="AB332" s="1"/>
      <c r="AC332" s="1"/>
      <c r="AD332" s="1"/>
      <c r="AE332" s="13"/>
    </row>
    <row r="333" spans="1:31" ht="16.5" customHeight="1">
      <c r="B333" s="173"/>
      <c r="C333" s="529"/>
      <c r="D333" s="529"/>
      <c r="E333" s="529"/>
      <c r="F333" s="529"/>
      <c r="G333" s="529"/>
      <c r="H333" s="529"/>
      <c r="I333" s="529"/>
      <c r="J333" s="529"/>
      <c r="K333" s="529"/>
      <c r="L333" s="529"/>
      <c r="M333" s="529"/>
      <c r="N333" s="529"/>
      <c r="O333" s="529"/>
      <c r="P333" s="1"/>
      <c r="T333" s="14"/>
      <c r="U333" s="1"/>
      <c r="V333" s="1"/>
      <c r="W333" s="1"/>
      <c r="X333" s="1"/>
      <c r="Y333" s="1"/>
      <c r="Z333" s="1"/>
      <c r="AA333" s="1"/>
      <c r="AB333" s="1"/>
      <c r="AC333" s="1"/>
      <c r="AD333" s="1"/>
      <c r="AE333" s="13"/>
    </row>
    <row r="334" spans="1:31" ht="16.5" customHeight="1">
      <c r="B334" s="173"/>
      <c r="C334" s="387"/>
      <c r="D334" s="306"/>
      <c r="E334" s="523"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523"/>
      <c r="G334" s="523"/>
      <c r="H334" s="523"/>
      <c r="I334" s="523"/>
      <c r="J334" s="523"/>
      <c r="K334" s="523"/>
      <c r="L334" s="523"/>
      <c r="M334" s="523"/>
      <c r="N334" s="523"/>
      <c r="O334" s="523"/>
      <c r="P334" s="1"/>
      <c r="T334" s="14"/>
      <c r="U334" s="502" t="s">
        <v>82</v>
      </c>
      <c r="V334" s="502"/>
      <c r="W334" s="502"/>
      <c r="X334" s="502"/>
      <c r="Y334" s="502"/>
      <c r="Z334" s="68"/>
      <c r="AA334" s="1"/>
      <c r="AB334" s="1">
        <f>IFERROR(IF(AB301="Non",0,IF(OR(AND(AB304&lt;0.5,AB318=TRUE),(AB304&gt;=0.5)),IF(AB303&gt;Annexes!O5,Annexes!O5,ROUND(AB303,0)),0)),0)</f>
        <v>0</v>
      </c>
      <c r="AC334" s="1"/>
      <c r="AD334" s="1"/>
      <c r="AE334" s="13"/>
    </row>
    <row r="335" spans="1:31" ht="15" customHeight="1">
      <c r="B335" s="173"/>
      <c r="C335" s="387"/>
      <c r="D335" s="306"/>
      <c r="E335" s="523"/>
      <c r="F335" s="523"/>
      <c r="G335" s="523"/>
      <c r="H335" s="523"/>
      <c r="I335" s="523"/>
      <c r="J335" s="523"/>
      <c r="K335" s="523"/>
      <c r="L335" s="523"/>
      <c r="M335" s="523"/>
      <c r="N335" s="523"/>
      <c r="O335" s="523"/>
      <c r="P335" s="1"/>
      <c r="T335" s="14"/>
      <c r="U335" s="502" t="s">
        <v>81</v>
      </c>
      <c r="V335" s="502"/>
      <c r="W335" s="502"/>
      <c r="X335" s="502"/>
      <c r="Y335" s="502"/>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customHeight="1">
      <c r="B336" s="173"/>
      <c r="C336" s="387"/>
      <c r="D336" s="306"/>
      <c r="E336" s="523"/>
      <c r="F336" s="523"/>
      <c r="G336" s="523"/>
      <c r="H336" s="523"/>
      <c r="I336" s="523"/>
      <c r="J336" s="523"/>
      <c r="K336" s="523"/>
      <c r="L336" s="523"/>
      <c r="M336" s="523"/>
      <c r="N336" s="523"/>
      <c r="O336" s="523"/>
      <c r="P336" s="1"/>
      <c r="T336" s="14"/>
      <c r="U336" s="502" t="s">
        <v>399</v>
      </c>
      <c r="V336" s="502"/>
      <c r="W336" s="502"/>
      <c r="X336" s="502"/>
      <c r="Y336" s="502"/>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customHeight="1">
      <c r="B337" s="173"/>
      <c r="C337" s="387"/>
      <c r="D337" s="417"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417"/>
      <c r="F337" s="417"/>
      <c r="G337" s="417"/>
      <c r="H337" s="417"/>
      <c r="I337" s="417"/>
      <c r="J337" s="417"/>
      <c r="K337" s="417"/>
      <c r="L337" s="417"/>
      <c r="M337" s="417"/>
      <c r="N337" s="417"/>
      <c r="O337" s="417"/>
      <c r="P337" s="377"/>
      <c r="Q337" s="377"/>
      <c r="T337" s="14"/>
      <c r="U337" s="1"/>
      <c r="V337" s="1"/>
      <c r="W337" s="1"/>
      <c r="X337" s="1"/>
      <c r="Y337" s="1"/>
      <c r="Z337" s="1"/>
      <c r="AA337" s="1"/>
      <c r="AB337" s="1"/>
      <c r="AC337" s="1"/>
      <c r="AD337" s="1"/>
      <c r="AE337" s="13"/>
    </row>
    <row r="338" spans="2:31" ht="16.5" customHeight="1">
      <c r="B338" s="173"/>
      <c r="C338" s="387"/>
      <c r="D338" s="52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524"/>
      <c r="F338" s="524"/>
      <c r="G338" s="524"/>
      <c r="H338" s="524"/>
      <c r="I338" s="524"/>
      <c r="J338" s="524"/>
      <c r="K338" s="524"/>
      <c r="L338" s="524"/>
      <c r="M338" s="524"/>
      <c r="N338" s="524"/>
      <c r="O338" s="524"/>
      <c r="P338" s="377"/>
      <c r="Q338" s="377"/>
      <c r="T338" s="14"/>
      <c r="U338" s="1"/>
      <c r="V338" s="1"/>
      <c r="W338" s="1"/>
      <c r="X338" s="1"/>
      <c r="Y338" s="1"/>
      <c r="Z338" s="1"/>
      <c r="AA338" s="1"/>
      <c r="AB338" s="1"/>
      <c r="AC338" s="1"/>
      <c r="AD338" s="1"/>
      <c r="AE338" s="13"/>
    </row>
    <row r="339" spans="2:31" ht="16.5" customHeight="1">
      <c r="B339" s="173"/>
      <c r="C339" s="387"/>
      <c r="D339" s="524"/>
      <c r="E339" s="524"/>
      <c r="F339" s="524"/>
      <c r="G339" s="524"/>
      <c r="H339" s="524"/>
      <c r="I339" s="524"/>
      <c r="J339" s="524"/>
      <c r="K339" s="524"/>
      <c r="L339" s="524"/>
      <c r="M339" s="524"/>
      <c r="N339" s="524"/>
      <c r="O339" s="524"/>
      <c r="P339" s="377"/>
      <c r="Q339" s="377"/>
      <c r="T339" s="14"/>
      <c r="U339" s="1"/>
      <c r="V339" s="1"/>
      <c r="W339" s="1"/>
      <c r="X339" s="1"/>
      <c r="Y339" s="1"/>
      <c r="Z339" s="1"/>
      <c r="AA339" s="1"/>
      <c r="AB339" s="1"/>
      <c r="AC339" s="1"/>
      <c r="AD339" s="1"/>
      <c r="AE339" s="13"/>
    </row>
    <row r="340" spans="2:31" ht="16.5" customHeight="1">
      <c r="B340" s="103"/>
      <c r="C340" s="387"/>
      <c r="D340" s="523"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523"/>
      <c r="F340" s="523"/>
      <c r="G340" s="523"/>
      <c r="H340" s="523"/>
      <c r="I340" s="523"/>
      <c r="J340" s="523"/>
      <c r="K340" s="523"/>
      <c r="L340" s="523"/>
      <c r="M340" s="523"/>
      <c r="N340" s="523"/>
      <c r="O340" s="523"/>
      <c r="P340" s="377"/>
      <c r="Q340" s="377"/>
      <c r="T340" s="14"/>
      <c r="U340" s="1"/>
      <c r="V340" s="1"/>
      <c r="W340" s="1"/>
      <c r="X340" s="1"/>
      <c r="Y340" s="1"/>
      <c r="Z340" s="1"/>
      <c r="AA340" s="1"/>
      <c r="AB340" s="1"/>
      <c r="AC340" s="1"/>
      <c r="AD340" s="1"/>
      <c r="AE340" s="13"/>
    </row>
    <row r="341" spans="2:31" ht="16.5" customHeight="1">
      <c r="B341" s="168"/>
      <c r="C341" s="387"/>
      <c r="D341" s="523"/>
      <c r="E341" s="523"/>
      <c r="F341" s="523"/>
      <c r="G341" s="523"/>
      <c r="H341" s="523"/>
      <c r="I341" s="523"/>
      <c r="J341" s="523"/>
      <c r="K341" s="523"/>
      <c r="L341" s="523"/>
      <c r="M341" s="523"/>
      <c r="N341" s="523"/>
      <c r="O341" s="523"/>
      <c r="P341" s="377"/>
      <c r="Q341" s="377"/>
      <c r="T341" s="14"/>
      <c r="U341" s="1"/>
      <c r="V341" s="1"/>
      <c r="W341" s="1"/>
      <c r="X341" s="1"/>
      <c r="Y341" s="1"/>
      <c r="Z341" s="1"/>
      <c r="AA341" s="1"/>
      <c r="AB341" s="1"/>
      <c r="AC341" s="1"/>
      <c r="AD341" s="1"/>
      <c r="AE341" s="13"/>
    </row>
    <row r="342" spans="2:31" ht="16.5" customHeight="1" thickBot="1">
      <c r="B342" s="168"/>
      <c r="C342" s="387"/>
      <c r="D342" s="205"/>
      <c r="E342" s="377"/>
      <c r="F342" s="377"/>
      <c r="G342" s="377"/>
      <c r="H342" s="377"/>
      <c r="I342" s="377"/>
      <c r="J342" s="377"/>
      <c r="K342" s="377"/>
      <c r="L342" s="377"/>
      <c r="M342" s="377"/>
      <c r="N342" s="377"/>
      <c r="O342" s="377"/>
      <c r="P342" s="377"/>
      <c r="Q342" s="377"/>
      <c r="T342" s="14"/>
      <c r="U342" s="1"/>
      <c r="V342" s="1"/>
      <c r="W342" s="1"/>
      <c r="X342" s="1"/>
      <c r="Y342" s="1"/>
      <c r="Z342" s="1"/>
      <c r="AA342" s="1"/>
      <c r="AB342" s="1"/>
      <c r="AC342" s="1"/>
      <c r="AD342" s="1"/>
      <c r="AE342" s="13"/>
    </row>
    <row r="343" spans="2:31" ht="16.5" customHeight="1">
      <c r="B343" s="103"/>
      <c r="C343" s="180"/>
      <c r="D343" s="527"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509"/>
      <c r="F343" s="509"/>
      <c r="G343" s="509"/>
      <c r="H343" s="509"/>
      <c r="I343" s="509"/>
      <c r="J343" s="509"/>
      <c r="K343" s="509"/>
      <c r="L343" s="509"/>
      <c r="M343" s="509"/>
      <c r="N343" s="509"/>
      <c r="O343" s="510"/>
      <c r="P343" s="377"/>
      <c r="Q343" s="377"/>
      <c r="T343" s="14"/>
      <c r="U343" s="1"/>
      <c r="V343" s="1"/>
      <c r="W343" s="1"/>
      <c r="X343" s="1"/>
      <c r="Y343" s="1"/>
      <c r="Z343" s="1"/>
      <c r="AA343" s="1"/>
      <c r="AB343" s="1"/>
      <c r="AC343" s="1"/>
      <c r="AD343" s="1"/>
      <c r="AE343" s="13"/>
    </row>
    <row r="344" spans="2:31" ht="16.5" customHeight="1">
      <c r="B344" s="103"/>
      <c r="C344" s="180"/>
      <c r="D344" s="511"/>
      <c r="E344" s="512"/>
      <c r="F344" s="512"/>
      <c r="G344" s="512"/>
      <c r="H344" s="512"/>
      <c r="I344" s="512"/>
      <c r="J344" s="512"/>
      <c r="K344" s="512"/>
      <c r="L344" s="512"/>
      <c r="M344" s="512"/>
      <c r="N344" s="512"/>
      <c r="O344" s="513"/>
      <c r="P344" s="377"/>
      <c r="Q344" s="377"/>
      <c r="T344" s="14"/>
      <c r="U344" s="1"/>
      <c r="V344" s="1"/>
      <c r="W344" s="1"/>
      <c r="X344" s="1"/>
      <c r="Y344" s="1"/>
      <c r="Z344" s="1"/>
      <c r="AA344" s="1"/>
      <c r="AB344" s="1"/>
      <c r="AC344" s="1"/>
      <c r="AD344" s="1"/>
      <c r="AE344" s="13"/>
    </row>
    <row r="345" spans="2:31" ht="16.5" customHeight="1">
      <c r="B345" s="103"/>
      <c r="C345" s="180"/>
      <c r="D345" s="511"/>
      <c r="E345" s="512"/>
      <c r="F345" s="512"/>
      <c r="G345" s="512"/>
      <c r="H345" s="512"/>
      <c r="I345" s="512"/>
      <c r="J345" s="512"/>
      <c r="K345" s="512"/>
      <c r="L345" s="512"/>
      <c r="M345" s="512"/>
      <c r="N345" s="512"/>
      <c r="O345" s="513"/>
      <c r="P345" s="175"/>
      <c r="Q345" s="175"/>
      <c r="T345" s="14"/>
      <c r="U345" s="1"/>
      <c r="V345" s="1"/>
      <c r="W345" s="1"/>
      <c r="X345" s="1"/>
      <c r="Y345" s="1"/>
      <c r="Z345" s="1"/>
      <c r="AA345" s="1"/>
      <c r="AB345" s="1"/>
      <c r="AC345" s="1"/>
      <c r="AD345" s="1"/>
      <c r="AE345" s="13"/>
    </row>
    <row r="346" spans="2:31" ht="16.5" customHeight="1" thickBot="1">
      <c r="B346" s="103"/>
      <c r="C346" s="180"/>
      <c r="D346" s="514"/>
      <c r="E346" s="515"/>
      <c r="F346" s="515"/>
      <c r="G346" s="515"/>
      <c r="H346" s="515"/>
      <c r="I346" s="515"/>
      <c r="J346" s="515"/>
      <c r="K346" s="515"/>
      <c r="L346" s="515"/>
      <c r="M346" s="515"/>
      <c r="N346" s="515"/>
      <c r="O346" s="516"/>
      <c r="T346" s="14"/>
      <c r="U346" s="1"/>
      <c r="V346" s="1"/>
      <c r="W346" s="1"/>
      <c r="X346" s="1"/>
      <c r="Y346" s="1"/>
      <c r="Z346" s="1"/>
      <c r="AA346" s="1"/>
      <c r="AB346" s="1"/>
      <c r="AC346" s="1"/>
      <c r="AD346" s="1"/>
      <c r="AE346" s="13"/>
    </row>
    <row r="347" spans="2:31" ht="16.5" customHeight="1">
      <c r="B347" s="103"/>
      <c r="C347" s="318"/>
      <c r="D347" s="563" t="str">
        <f>IF(AND(AB318=TRUE,AB317=FALSE,AB303&gt;1500),"L'aide est plafonné à 1 500 €, Si l'entreprise a subi une perte de moins de 50 % sur la période en comprenant le CA réalisé sur les activités de vente à distance avec retrait en magasin ou livraison sont à prendre en compte pour le calcul de la perte","")</f>
        <v/>
      </c>
      <c r="E347" s="563"/>
      <c r="F347" s="563"/>
      <c r="G347" s="563"/>
      <c r="H347" s="563"/>
      <c r="I347" s="563"/>
      <c r="J347" s="563"/>
      <c r="K347" s="563"/>
      <c r="L347" s="563"/>
      <c r="M347" s="563"/>
      <c r="N347" s="563"/>
      <c r="O347" s="563"/>
      <c r="T347" s="14"/>
      <c r="U347" s="1"/>
      <c r="V347" s="1"/>
      <c r="W347" s="1"/>
      <c r="X347" s="1"/>
      <c r="Y347" s="1"/>
      <c r="Z347" s="1"/>
      <c r="AA347" s="1"/>
      <c r="AB347" s="1"/>
      <c r="AC347" s="1"/>
      <c r="AD347" s="1"/>
      <c r="AE347" s="13"/>
    </row>
    <row r="348" spans="2:31" ht="16.5" customHeight="1">
      <c r="B348" s="103"/>
      <c r="C348" s="318"/>
      <c r="D348" s="563"/>
      <c r="E348" s="563"/>
      <c r="F348" s="563"/>
      <c r="G348" s="563"/>
      <c r="H348" s="563"/>
      <c r="I348" s="563"/>
      <c r="J348" s="563"/>
      <c r="K348" s="563"/>
      <c r="L348" s="563"/>
      <c r="M348" s="563"/>
      <c r="N348" s="563"/>
      <c r="O348" s="563"/>
      <c r="T348" s="14"/>
      <c r="U348" s="1"/>
      <c r="V348" s="1"/>
      <c r="W348" s="1"/>
      <c r="X348" s="1"/>
      <c r="Y348" s="1"/>
      <c r="Z348" s="1"/>
      <c r="AA348" s="1"/>
      <c r="AB348" s="1"/>
      <c r="AC348" s="1"/>
      <c r="AD348" s="1"/>
      <c r="AE348" s="13"/>
    </row>
    <row r="349" spans="2:31" ht="16.5" customHeight="1">
      <c r="B349" s="5"/>
      <c r="C349" s="5"/>
      <c r="D349" s="391"/>
      <c r="E349" s="391"/>
      <c r="F349" s="391"/>
      <c r="G349" s="391"/>
      <c r="H349" s="391"/>
      <c r="I349" s="391"/>
      <c r="J349" s="391"/>
      <c r="K349" s="391"/>
      <c r="L349" s="391"/>
      <c r="M349" s="391"/>
      <c r="N349" s="391"/>
      <c r="O349" s="391"/>
      <c r="P349" s="177"/>
      <c r="Q349" s="177"/>
      <c r="T349" s="14"/>
      <c r="U349" s="1"/>
      <c r="V349" s="1"/>
      <c r="W349" s="1"/>
      <c r="X349" s="1"/>
      <c r="Y349" s="1"/>
      <c r="Z349" s="1"/>
      <c r="AA349" s="1"/>
      <c r="AB349" s="1"/>
      <c r="AC349" s="1"/>
      <c r="AD349" s="1"/>
      <c r="AE349" s="13"/>
    </row>
    <row r="350" spans="2:31" ht="16.5" thickBot="1">
      <c r="B350" s="220"/>
      <c r="C350" s="488" t="s">
        <v>434</v>
      </c>
      <c r="D350" s="488"/>
      <c r="E350" s="488"/>
      <c r="F350" s="488"/>
      <c r="G350" s="488"/>
      <c r="H350" s="488"/>
      <c r="I350" s="221"/>
      <c r="J350" s="221"/>
      <c r="K350" s="221"/>
      <c r="L350" s="221"/>
      <c r="M350" s="221"/>
      <c r="N350" s="221"/>
      <c r="O350" s="221"/>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customHeight="1">
      <c r="B352" s="103"/>
      <c r="C352" s="489" t="s">
        <v>441</v>
      </c>
      <c r="D352" s="489"/>
      <c r="E352" s="489"/>
      <c r="F352" s="489"/>
      <c r="G352" s="489"/>
      <c r="H352" s="489"/>
      <c r="I352" s="489"/>
      <c r="J352" s="489"/>
      <c r="K352" s="489"/>
      <c r="L352" s="489"/>
      <c r="M352" s="489"/>
      <c r="N352" s="489"/>
      <c r="O352" s="489"/>
      <c r="P352" s="1"/>
      <c r="T352" s="25"/>
      <c r="U352" s="490" t="s">
        <v>20</v>
      </c>
      <c r="V352" s="490"/>
      <c r="W352" s="490"/>
      <c r="X352" s="1"/>
      <c r="Y352" s="390" t="s">
        <v>6</v>
      </c>
      <c r="Z352" s="390"/>
      <c r="AA352" s="390"/>
      <c r="AB352" s="390" t="s">
        <v>23</v>
      </c>
      <c r="AC352" s="390"/>
      <c r="AD352" s="390"/>
      <c r="AE352" s="26" t="s">
        <v>24</v>
      </c>
    </row>
    <row r="353" spans="2:31" ht="15.75" customHeight="1">
      <c r="B353" s="103"/>
      <c r="C353" s="387"/>
      <c r="D353" s="60" t="s">
        <v>435</v>
      </c>
      <c r="E353" s="387"/>
      <c r="F353" s="387"/>
      <c r="G353" s="387"/>
      <c r="H353" s="387"/>
      <c r="I353" s="387"/>
      <c r="J353" s="387"/>
      <c r="K353" s="387"/>
      <c r="L353" s="387"/>
      <c r="M353" s="387"/>
      <c r="N353" s="387"/>
      <c r="O353" s="387"/>
      <c r="P353" s="1"/>
      <c r="T353" s="25"/>
      <c r="U353" s="390"/>
      <c r="V353" s="390"/>
      <c r="W353" s="390"/>
      <c r="X353" s="1"/>
      <c r="Y353" s="390"/>
      <c r="Z353" s="390"/>
      <c r="AA353" s="390"/>
      <c r="AB353" s="390"/>
      <c r="AC353" s="390"/>
      <c r="AD353" s="390"/>
      <c r="AE353" s="26"/>
    </row>
    <row r="354" spans="2:31" ht="16.5" hidden="1" thickBot="1">
      <c r="B354" s="103"/>
      <c r="C354" s="387"/>
      <c r="D354" s="60"/>
      <c r="E354" s="387"/>
      <c r="F354" s="387"/>
      <c r="G354" s="387"/>
      <c r="H354" s="387"/>
      <c r="I354" s="387"/>
      <c r="J354" s="387"/>
      <c r="K354" s="387"/>
      <c r="L354" s="387"/>
      <c r="M354" s="387"/>
      <c r="N354" s="387"/>
      <c r="O354" s="387"/>
      <c r="P354" s="1"/>
      <c r="T354" s="491" t="s">
        <v>444</v>
      </c>
      <c r="U354" s="490"/>
      <c r="V354" s="490"/>
      <c r="W354" s="490"/>
      <c r="X354" s="1"/>
      <c r="Y354" s="7">
        <f>'Mon Entreprise'!I128</f>
        <v>0</v>
      </c>
      <c r="Z354" s="133"/>
      <c r="AA354" s="21"/>
      <c r="AB354" s="7">
        <f>IF('Mon Entreprise'!I128-'Mon Entreprise'!M128&lt;0,0,'Mon Entreprise'!I128-'Mon Entreprise'!M128)</f>
        <v>0</v>
      </c>
      <c r="AC354" s="13"/>
      <c r="AD354" s="1"/>
      <c r="AE354" s="27">
        <f>IFERROR(1-'Mon Entreprise'!M128/'Mon Entreprise'!I128,0)</f>
        <v>0</v>
      </c>
    </row>
    <row r="355" spans="2:31" ht="15.75" hidden="1">
      <c r="B355" s="103"/>
      <c r="C355" s="387"/>
      <c r="D355" s="492"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93"/>
      <c r="F355" s="493"/>
      <c r="G355" s="493"/>
      <c r="H355" s="493"/>
      <c r="I355" s="493"/>
      <c r="J355" s="493"/>
      <c r="K355" s="493"/>
      <c r="L355" s="493"/>
      <c r="M355" s="493"/>
      <c r="N355" s="493"/>
      <c r="O355" s="494"/>
      <c r="P355" s="1"/>
      <c r="T355" s="491" t="s">
        <v>25</v>
      </c>
      <c r="U355" s="490"/>
      <c r="V355" s="490"/>
      <c r="W355" s="490"/>
      <c r="X355" s="1"/>
      <c r="Y355" s="7">
        <f>'Mon Entreprise'!I98</f>
        <v>0</v>
      </c>
      <c r="Z355" s="133"/>
      <c r="AA355" s="21"/>
      <c r="AB355" s="7">
        <f>IF('Mon Entreprise'!I98-'Mon Entreprise'!M128&lt;0,0,'Mon Entreprise'!I98-'Mon Entreprise'!M128)</f>
        <v>0</v>
      </c>
      <c r="AC355" s="36"/>
      <c r="AD355" s="1"/>
      <c r="AE355" s="27">
        <f>IFERROR(1-'Mon Entreprise'!M128/'Mon Entreprise'!I98,0)</f>
        <v>0</v>
      </c>
    </row>
    <row r="356" spans="2:31" ht="15.75" hidden="1" customHeight="1">
      <c r="B356" s="103"/>
      <c r="C356" s="387"/>
      <c r="D356" s="495"/>
      <c r="E356" s="496"/>
      <c r="F356" s="496"/>
      <c r="G356" s="496"/>
      <c r="H356" s="496"/>
      <c r="I356" s="496"/>
      <c r="J356" s="496"/>
      <c r="K356" s="496"/>
      <c r="L356" s="496"/>
      <c r="M356" s="496"/>
      <c r="N356" s="496"/>
      <c r="O356" s="497"/>
      <c r="P356" s="1"/>
      <c r="T356" s="501" t="s">
        <v>22</v>
      </c>
      <c r="U356" s="502"/>
      <c r="V356" s="502"/>
      <c r="W356" s="502"/>
      <c r="X356" s="139"/>
      <c r="Y356" s="140" t="str">
        <f>IF('Mon Entreprise'!I148="","NC",'Mon Entreprise'!I148)</f>
        <v>NC</v>
      </c>
      <c r="Z356" s="191"/>
      <c r="AA356" s="192"/>
      <c r="AB356" s="143" t="str">
        <f>IFERROR(IF('Mon Entreprise'!I148-'Mon Entreprise'!M128&lt;0,0,'Mon Entreprise'!I148-'Mon Entreprise'!M128),"NC")</f>
        <v>NC</v>
      </c>
      <c r="AC356" s="193"/>
      <c r="AD356" s="139"/>
      <c r="AE356" s="146" t="str">
        <f>IFERROR(1-'Mon Entreprise'!M128/'Mon Entreprise'!I148,"NC")</f>
        <v>NC</v>
      </c>
    </row>
    <row r="357" spans="2:31" ht="15.75" hidden="1" customHeight="1">
      <c r="B357" s="103"/>
      <c r="C357" s="387"/>
      <c r="D357" s="495"/>
      <c r="E357" s="496"/>
      <c r="F357" s="496"/>
      <c r="G357" s="496"/>
      <c r="H357" s="496"/>
      <c r="I357" s="496"/>
      <c r="J357" s="496"/>
      <c r="K357" s="496"/>
      <c r="L357" s="496"/>
      <c r="M357" s="496"/>
      <c r="N357" s="496"/>
      <c r="O357" s="497"/>
      <c r="P357" s="1"/>
      <c r="T357" s="388"/>
      <c r="U357" s="385"/>
      <c r="V357" s="385"/>
      <c r="W357" s="385"/>
      <c r="X357" s="139"/>
      <c r="Y357" s="140"/>
      <c r="Z357" s="141"/>
      <c r="AA357" s="192"/>
      <c r="AB357" s="143"/>
      <c r="AC357" s="385"/>
      <c r="AD357" s="139"/>
      <c r="AE357" s="146"/>
    </row>
    <row r="358" spans="2:31" ht="15.75" hidden="1" customHeight="1">
      <c r="B358" s="103"/>
      <c r="C358" s="387"/>
      <c r="D358" s="495"/>
      <c r="E358" s="496"/>
      <c r="F358" s="496"/>
      <c r="G358" s="496"/>
      <c r="H358" s="496"/>
      <c r="I358" s="496"/>
      <c r="J358" s="496"/>
      <c r="K358" s="496"/>
      <c r="L358" s="496"/>
      <c r="M358" s="496"/>
      <c r="N358" s="496"/>
      <c r="O358" s="497"/>
      <c r="P358" s="1"/>
      <c r="T358" s="14"/>
      <c r="U358" s="1"/>
      <c r="V358" s="1"/>
      <c r="W358" s="1"/>
      <c r="X358" s="1"/>
      <c r="Y358" s="1"/>
      <c r="Z358" s="1"/>
      <c r="AA358" s="1"/>
      <c r="AB358" s="1"/>
      <c r="AC358" s="1"/>
      <c r="AD358" s="1"/>
      <c r="AE358" s="13"/>
    </row>
    <row r="359" spans="2:31" ht="15.75" hidden="1" customHeight="1">
      <c r="B359" s="103"/>
      <c r="C359" s="387"/>
      <c r="D359" s="495"/>
      <c r="E359" s="496"/>
      <c r="F359" s="496"/>
      <c r="G359" s="496"/>
      <c r="H359" s="496"/>
      <c r="I359" s="496"/>
      <c r="J359" s="496"/>
      <c r="K359" s="496"/>
      <c r="L359" s="496"/>
      <c r="M359" s="496"/>
      <c r="N359" s="496"/>
      <c r="O359" s="497"/>
      <c r="P359" s="1"/>
      <c r="T359" s="14"/>
      <c r="AC359" s="1"/>
      <c r="AD359" s="1"/>
      <c r="AE359" s="13"/>
    </row>
    <row r="360" spans="2:31" ht="15.75" hidden="1" customHeight="1" thickBot="1">
      <c r="B360" s="103"/>
      <c r="C360" s="387"/>
      <c r="D360" s="498"/>
      <c r="E360" s="499"/>
      <c r="F360" s="499"/>
      <c r="G360" s="499"/>
      <c r="H360" s="499"/>
      <c r="I360" s="499"/>
      <c r="J360" s="499"/>
      <c r="K360" s="499"/>
      <c r="L360" s="499"/>
      <c r="M360" s="499"/>
      <c r="N360" s="499"/>
      <c r="O360" s="500"/>
      <c r="P360" s="1"/>
      <c r="T360" s="14"/>
      <c r="AC360" s="1"/>
      <c r="AD360" s="1"/>
      <c r="AE360" s="13"/>
    </row>
    <row r="361" spans="2:31" ht="16.5" hidden="1" customHeight="1">
      <c r="B361" s="103"/>
      <c r="C361" s="387"/>
      <c r="D361" s="330" t="s">
        <v>443</v>
      </c>
      <c r="E361" s="387"/>
      <c r="F361" s="387"/>
      <c r="G361" s="387"/>
      <c r="H361" s="387"/>
      <c r="I361" s="387"/>
      <c r="J361" s="387"/>
      <c r="K361" s="387"/>
      <c r="L361" s="387"/>
      <c r="M361" s="387"/>
      <c r="N361" s="387"/>
      <c r="O361" s="387"/>
      <c r="P361" s="1"/>
      <c r="T361" s="14"/>
      <c r="AC361" s="1"/>
      <c r="AD361" s="1"/>
      <c r="AE361" s="13"/>
    </row>
    <row r="362" spans="2:31" ht="15.75">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c r="B363" s="103"/>
      <c r="C363" s="387"/>
      <c r="D363" s="60"/>
      <c r="E363" s="387"/>
      <c r="F363" s="387"/>
      <c r="G363" s="387"/>
      <c r="H363" s="387"/>
      <c r="I363" s="387"/>
      <c r="J363" s="387"/>
      <c r="K363" s="387"/>
      <c r="L363" s="387"/>
      <c r="M363" s="387"/>
      <c r="N363" s="387"/>
      <c r="O363" s="387"/>
      <c r="P363" s="1"/>
      <c r="T363" s="14"/>
      <c r="U363" s="1"/>
      <c r="V363" s="1"/>
      <c r="W363" s="1"/>
      <c r="X363" s="1"/>
      <c r="Y363" s="1"/>
      <c r="Z363" s="1"/>
      <c r="AA363" s="1"/>
      <c r="AB363" s="1"/>
      <c r="AC363" s="1"/>
      <c r="AD363" s="1"/>
      <c r="AE363" s="13"/>
    </row>
    <row r="364" spans="2:31" ht="15.75">
      <c r="B364" s="103"/>
      <c r="C364" s="387" t="s">
        <v>442</v>
      </c>
      <c r="D364" s="60"/>
      <c r="E364" s="387"/>
      <c r="F364" s="387"/>
      <c r="G364" s="387"/>
      <c r="H364" s="387"/>
      <c r="I364" s="387"/>
      <c r="J364" s="387"/>
      <c r="K364" s="387"/>
      <c r="L364" s="387"/>
      <c r="M364" s="387"/>
      <c r="N364" s="387"/>
      <c r="O364" s="387"/>
      <c r="P364" s="1"/>
      <c r="T364" s="14"/>
      <c r="U364" s="1"/>
      <c r="V364" s="1"/>
      <c r="W364" s="1"/>
      <c r="X364" s="1"/>
      <c r="Y364" s="1"/>
      <c r="Z364" s="1"/>
      <c r="AA364" s="1"/>
      <c r="AB364" s="1"/>
      <c r="AC364" s="1"/>
      <c r="AD364" s="1"/>
      <c r="AE364" s="13"/>
    </row>
    <row r="365" spans="2:31" ht="15.75">
      <c r="B365" s="103"/>
      <c r="C365" s="380" t="s">
        <v>436</v>
      </c>
      <c r="D365" s="60"/>
      <c r="E365" s="387"/>
      <c r="F365" s="387"/>
      <c r="G365" s="387"/>
      <c r="H365" s="387"/>
      <c r="I365" s="387"/>
      <c r="J365" s="387"/>
      <c r="K365" s="387"/>
      <c r="L365" s="387"/>
      <c r="M365" s="387"/>
      <c r="N365" s="387"/>
      <c r="O365" s="387"/>
      <c r="P365" s="1"/>
      <c r="T365" s="14"/>
      <c r="U365" s="506" t="s">
        <v>72</v>
      </c>
      <c r="V365" s="506"/>
      <c r="W365" s="506"/>
      <c r="X365" s="506"/>
      <c r="Y365" s="506"/>
      <c r="Z365" s="1"/>
      <c r="AA365" s="14"/>
      <c r="AB365" s="385" t="str">
        <f>IF('Mon Entreprise'!K8&lt;=Annexes!R15,"Oui","Non")</f>
        <v>Oui</v>
      </c>
      <c r="AC365" s="1"/>
      <c r="AD365" s="1"/>
      <c r="AE365" s="13"/>
    </row>
    <row r="366" spans="2:31" ht="15.75">
      <c r="B366" s="168"/>
      <c r="C366" s="387"/>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87"/>
      <c r="F366" s="387"/>
      <c r="G366" s="387"/>
      <c r="H366" s="387"/>
      <c r="I366" s="387"/>
      <c r="J366" s="387"/>
      <c r="K366" s="387"/>
      <c r="L366" s="387"/>
      <c r="M366" s="387"/>
      <c r="N366" s="387"/>
      <c r="O366" s="387"/>
      <c r="P366" s="1"/>
      <c r="T366" s="14"/>
      <c r="U366" s="386"/>
      <c r="V366" s="506" t="s">
        <v>393</v>
      </c>
      <c r="W366" s="506"/>
      <c r="X366" s="506"/>
      <c r="Y366" s="506"/>
      <c r="Z366" s="1"/>
      <c r="AA366" s="14"/>
      <c r="AB366" s="385">
        <f>IF('Mon Entreprise'!K8&gt;=Annexes!O20,IF(Y354&gt;=Y356,Y354,Y356),IF(Y354&gt;=Y355,Y354,Y355))</f>
        <v>0</v>
      </c>
      <c r="AC366" s="1"/>
      <c r="AD366" s="1"/>
      <c r="AE366" s="13"/>
    </row>
    <row r="367" spans="2:31" ht="15.75">
      <c r="B367" s="168"/>
      <c r="C367" s="387"/>
      <c r="D367" s="507"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507"/>
      <c r="F367" s="507"/>
      <c r="G367" s="507"/>
      <c r="H367" s="507"/>
      <c r="I367" s="507"/>
      <c r="J367" s="507"/>
      <c r="K367" s="507"/>
      <c r="L367" s="507"/>
      <c r="M367" s="507"/>
      <c r="N367" s="507"/>
      <c r="O367" s="507"/>
      <c r="P367" s="1"/>
      <c r="T367" s="14"/>
      <c r="U367" s="506" t="s">
        <v>84</v>
      </c>
      <c r="V367" s="506"/>
      <c r="W367" s="506"/>
      <c r="X367" s="506"/>
      <c r="Y367" s="506"/>
      <c r="Z367" s="1"/>
      <c r="AA367" s="14"/>
      <c r="AB367" s="381">
        <f>IF('Mon Entreprise'!K8&gt;=Annexes!O20,IF(AB354&gt;=AB356,AB354,AB356),IF(AB354&gt;=AB355,AB354,AB355))</f>
        <v>0</v>
      </c>
      <c r="AC367" s="1"/>
      <c r="AD367" s="1"/>
      <c r="AE367" s="13"/>
    </row>
    <row r="368" spans="2:31" ht="15.75">
      <c r="B368" s="168"/>
      <c r="C368" s="387"/>
      <c r="D368" s="507"/>
      <c r="E368" s="507"/>
      <c r="F368" s="507"/>
      <c r="G368" s="507"/>
      <c r="H368" s="507"/>
      <c r="I368" s="507"/>
      <c r="J368" s="507"/>
      <c r="K368" s="507"/>
      <c r="L368" s="507"/>
      <c r="M368" s="507"/>
      <c r="N368" s="507"/>
      <c r="O368" s="507"/>
      <c r="P368" s="1"/>
      <c r="T368" s="14"/>
      <c r="U368" s="506" t="s">
        <v>85</v>
      </c>
      <c r="V368" s="506"/>
      <c r="W368" s="506"/>
      <c r="X368" s="506"/>
      <c r="Y368" s="506"/>
      <c r="Z368" s="1"/>
      <c r="AA368" s="14"/>
      <c r="AB368" s="19">
        <f>IF('Mon Entreprise'!K8&gt;=Annexes!O20,IF(AB354&gt;=AB356,AE354,AE356),IF(AB354&gt;=AB355,AE354,AE355))</f>
        <v>0</v>
      </c>
      <c r="AC368" s="1"/>
      <c r="AD368" s="1"/>
      <c r="AE368" s="13"/>
    </row>
    <row r="369" spans="1:31" ht="16.5" thickBot="1">
      <c r="B369" s="103"/>
      <c r="C369" s="387"/>
      <c r="D369" s="60"/>
      <c r="E369" s="387"/>
      <c r="F369" s="387"/>
      <c r="G369" s="387"/>
      <c r="H369" s="387"/>
      <c r="I369" s="387"/>
      <c r="J369" s="387"/>
      <c r="K369" s="387"/>
      <c r="L369" s="387"/>
      <c r="M369" s="387"/>
      <c r="N369" s="387"/>
      <c r="O369" s="387"/>
      <c r="P369" s="1"/>
      <c r="T369" s="14"/>
      <c r="U369" s="1"/>
      <c r="V369" s="1"/>
      <c r="W369" s="1"/>
      <c r="X369" s="1"/>
      <c r="Y369" s="1"/>
      <c r="Z369" s="1"/>
      <c r="AA369" s="1"/>
      <c r="AB369" s="1"/>
      <c r="AC369" s="1"/>
      <c r="AD369" s="1"/>
      <c r="AE369" s="13"/>
    </row>
    <row r="370" spans="1:31" ht="15.75">
      <c r="B370" s="168"/>
      <c r="C370" s="387"/>
      <c r="D370" s="508"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509"/>
      <c r="F370" s="509"/>
      <c r="G370" s="509"/>
      <c r="H370" s="509"/>
      <c r="I370" s="509"/>
      <c r="J370" s="509"/>
      <c r="K370" s="509"/>
      <c r="L370" s="509"/>
      <c r="M370" s="509"/>
      <c r="N370" s="509"/>
      <c r="O370" s="510"/>
      <c r="P370" s="1"/>
      <c r="T370" s="14"/>
      <c r="U370" s="1"/>
      <c r="V370" s="1"/>
      <c r="W370" s="1"/>
      <c r="X370" s="1"/>
      <c r="Y370" s="1"/>
      <c r="Z370" s="1"/>
      <c r="AA370" s="1"/>
      <c r="AB370" s="1"/>
      <c r="AC370" s="1"/>
      <c r="AD370" s="1"/>
      <c r="AE370" s="13"/>
    </row>
    <row r="371" spans="1:31" ht="15.75" customHeight="1">
      <c r="B371" s="168"/>
      <c r="C371" s="387"/>
      <c r="D371" s="511"/>
      <c r="E371" s="512"/>
      <c r="F371" s="512"/>
      <c r="G371" s="512"/>
      <c r="H371" s="512"/>
      <c r="I371" s="512"/>
      <c r="J371" s="512"/>
      <c r="K371" s="512"/>
      <c r="L371" s="512"/>
      <c r="M371" s="512"/>
      <c r="N371" s="512"/>
      <c r="O371" s="513"/>
      <c r="P371" s="1"/>
      <c r="T371" s="14"/>
      <c r="U371" s="1"/>
      <c r="V371" s="1"/>
      <c r="W371" s="1"/>
      <c r="X371" s="1"/>
      <c r="Y371" s="1"/>
      <c r="Z371" s="1"/>
      <c r="AA371" s="1"/>
      <c r="AB371" s="1"/>
      <c r="AC371" s="1"/>
      <c r="AD371" s="1"/>
      <c r="AE371" s="13"/>
    </row>
    <row r="372" spans="1:31" ht="15.75" customHeight="1">
      <c r="B372" s="103"/>
      <c r="C372" s="387"/>
      <c r="D372" s="511"/>
      <c r="E372" s="512"/>
      <c r="F372" s="512"/>
      <c r="G372" s="512"/>
      <c r="H372" s="512"/>
      <c r="I372" s="512"/>
      <c r="J372" s="512"/>
      <c r="K372" s="512"/>
      <c r="L372" s="512"/>
      <c r="M372" s="512"/>
      <c r="N372" s="512"/>
      <c r="O372" s="513"/>
      <c r="P372" s="1"/>
      <c r="T372" s="14"/>
      <c r="U372" s="1"/>
      <c r="V372" s="1"/>
      <c r="W372" s="1"/>
      <c r="X372" s="1"/>
      <c r="Y372" s="1"/>
      <c r="Z372" s="1"/>
      <c r="AA372" s="1"/>
      <c r="AB372" s="1"/>
      <c r="AC372" s="1"/>
      <c r="AD372" s="1"/>
      <c r="AE372" s="13"/>
    </row>
    <row r="373" spans="1:31" ht="15.75" customHeight="1" thickBot="1">
      <c r="B373" s="103"/>
      <c r="C373" s="387"/>
      <c r="D373" s="514"/>
      <c r="E373" s="515"/>
      <c r="F373" s="515"/>
      <c r="G373" s="515"/>
      <c r="H373" s="515"/>
      <c r="I373" s="515"/>
      <c r="J373" s="515"/>
      <c r="K373" s="515"/>
      <c r="L373" s="515"/>
      <c r="M373" s="515"/>
      <c r="N373" s="515"/>
      <c r="O373" s="516"/>
      <c r="P373" s="1"/>
      <c r="T373" s="14"/>
      <c r="U373" s="1"/>
      <c r="V373" s="1"/>
      <c r="W373" s="1"/>
      <c r="X373" s="1"/>
      <c r="Y373" s="1"/>
      <c r="Z373" s="1"/>
      <c r="AA373" s="1"/>
      <c r="AB373" s="1"/>
      <c r="AC373" s="1"/>
      <c r="AD373" s="1"/>
      <c r="AE373" s="13"/>
    </row>
    <row r="374" spans="1:31" ht="16.5" customHeight="1">
      <c r="B374" s="103"/>
      <c r="C374" s="169"/>
      <c r="D374" s="517"/>
      <c r="E374" s="517"/>
      <c r="F374" s="517"/>
      <c r="G374" s="517"/>
      <c r="H374" s="517"/>
      <c r="I374" s="517"/>
      <c r="J374" s="517"/>
      <c r="K374" s="517"/>
      <c r="L374" s="517"/>
      <c r="M374" s="517"/>
      <c r="N374" s="517"/>
      <c r="O374" s="517"/>
      <c r="P374" s="1"/>
      <c r="T374" s="518" t="s">
        <v>4</v>
      </c>
      <c r="U374" s="519"/>
      <c r="V374" s="519"/>
      <c r="W374" s="519"/>
      <c r="X374" s="519"/>
      <c r="Y374" s="519"/>
      <c r="Z374" s="139"/>
      <c r="AA374" s="145"/>
      <c r="AB374" s="194">
        <f>IFERROR(IF('Mon Entreprise'!K8&gt;=Annexes!Q18,0,1-'Mon Entreprise'!M118/2/AB366),0)</f>
        <v>0</v>
      </c>
      <c r="AC374" s="1"/>
      <c r="AD374" s="1"/>
      <c r="AE374" s="13"/>
    </row>
    <row r="375" spans="1:31" ht="16.5" customHeight="1">
      <c r="B375" s="103"/>
      <c r="C375" s="387"/>
      <c r="D375" s="306"/>
      <c r="E375" s="306"/>
      <c r="F375" s="306"/>
      <c r="G375" s="306"/>
      <c r="H375" s="306"/>
      <c r="I375" s="306"/>
      <c r="J375" s="306"/>
      <c r="K375" s="306"/>
      <c r="L375" s="306"/>
      <c r="M375" s="306"/>
      <c r="N375" s="306"/>
      <c r="O375" s="306"/>
      <c r="P375" s="1"/>
      <c r="T375" s="110"/>
      <c r="U375" s="520" t="s">
        <v>102</v>
      </c>
      <c r="V375" s="520"/>
      <c r="W375" s="520"/>
      <c r="X375" s="520"/>
      <c r="Y375" s="520"/>
      <c r="Z375" s="139"/>
      <c r="AA375" s="145"/>
      <c r="AB375" s="194">
        <f>IFERROR(IF('Mon Entreprise'!K8&gt;Annexes!Q29,0,IF('Mon Entreprise'!K8&gt;Annexes!Q26,1,1-'Mon Entreprise'!M114/AB366)),0)</f>
        <v>0</v>
      </c>
      <c r="AC375" s="1"/>
      <c r="AD375" s="1"/>
      <c r="AE375" s="13"/>
    </row>
    <row r="376" spans="1:31" ht="16.5" customHeight="1">
      <c r="B376" s="103"/>
      <c r="C376" s="505" t="s">
        <v>452</v>
      </c>
      <c r="D376" s="505"/>
      <c r="E376" s="505"/>
      <c r="F376" s="505"/>
      <c r="G376" s="505"/>
      <c r="H376" s="505"/>
      <c r="I376" s="505"/>
      <c r="J376" s="505"/>
      <c r="K376" s="505"/>
      <c r="L376" s="505"/>
      <c r="M376" s="505"/>
      <c r="N376" s="505"/>
      <c r="O376" s="505"/>
      <c r="P376" s="1"/>
      <c r="T376" s="110"/>
      <c r="U376" s="520" t="s">
        <v>109</v>
      </c>
      <c r="V376" s="520"/>
      <c r="W376" s="520"/>
      <c r="X376" s="520"/>
      <c r="Y376" s="520"/>
      <c r="Z376" s="139"/>
      <c r="AA376" s="145"/>
      <c r="AB376" s="194">
        <f>IFERROR(IF(Annexes!O27&gt;'Mon Entreprise'!K8,1-'Mon Entreprise'!M98/'Mon Entreprise'!I98,0),0)</f>
        <v>0</v>
      </c>
      <c r="AC376" s="1"/>
      <c r="AD376" s="1"/>
      <c r="AE376" s="13"/>
    </row>
    <row r="377" spans="1:31" ht="16.5" customHeight="1">
      <c r="B377" s="103"/>
      <c r="C377" s="505"/>
      <c r="D377" s="505"/>
      <c r="E377" s="505"/>
      <c r="F377" s="505"/>
      <c r="G377" s="505"/>
      <c r="H377" s="505"/>
      <c r="I377" s="505"/>
      <c r="J377" s="505"/>
      <c r="K377" s="505"/>
      <c r="L377" s="505"/>
      <c r="M377" s="505"/>
      <c r="N377" s="505"/>
      <c r="O377" s="505"/>
      <c r="P377" s="1"/>
      <c r="T377" s="110"/>
      <c r="U377" s="382"/>
      <c r="V377" s="382"/>
      <c r="W377" s="382"/>
      <c r="X377" s="382"/>
      <c r="Y377" s="382"/>
      <c r="Z377" s="139"/>
      <c r="AA377" s="145"/>
      <c r="AB377" s="194"/>
      <c r="AC377" s="1"/>
      <c r="AD377" s="1"/>
      <c r="AE377" s="13"/>
    </row>
    <row r="378" spans="1:31" ht="16.5" customHeight="1">
      <c r="B378" s="103"/>
      <c r="C378" s="505"/>
      <c r="D378" s="505"/>
      <c r="E378" s="505"/>
      <c r="F378" s="505"/>
      <c r="G378" s="505"/>
      <c r="H378" s="505"/>
      <c r="I378" s="505"/>
      <c r="J378" s="505"/>
      <c r="K378" s="505"/>
      <c r="L378" s="505"/>
      <c r="M378" s="505"/>
      <c r="N378" s="505"/>
      <c r="O378" s="505"/>
      <c r="P378" s="1"/>
      <c r="T378" s="14"/>
      <c r="U378" s="521" t="s">
        <v>8</v>
      </c>
      <c r="V378" s="521"/>
      <c r="W378" s="521"/>
      <c r="X378" s="521"/>
      <c r="Y378" s="521"/>
      <c r="Z378" s="1"/>
      <c r="AA378" s="14"/>
      <c r="AB378" s="381" t="str">
        <f>IF((AND(Annexes!F5&gt;1,Annexes!F5&lt;=Annexes!H6)),"OUI","NON")</f>
        <v>NON</v>
      </c>
      <c r="AC378" s="1"/>
      <c r="AD378" s="1"/>
      <c r="AE378" s="13"/>
    </row>
    <row r="379" spans="1:31" ht="16.5" customHeight="1">
      <c r="B379" s="103"/>
      <c r="C379" s="505"/>
      <c r="D379" s="505"/>
      <c r="E379" s="505"/>
      <c r="F379" s="505"/>
      <c r="G379" s="505"/>
      <c r="H379" s="505"/>
      <c r="I379" s="505"/>
      <c r="J379" s="505"/>
      <c r="K379" s="505"/>
      <c r="L379" s="505"/>
      <c r="M379" s="505"/>
      <c r="N379" s="505"/>
      <c r="O379" s="505"/>
      <c r="P379" s="1"/>
      <c r="T379" s="14"/>
      <c r="U379" s="383"/>
      <c r="V379" s="383"/>
      <c r="W379" s="383"/>
      <c r="X379" s="383"/>
      <c r="Y379" s="383" t="s">
        <v>9</v>
      </c>
      <c r="Z379" s="1"/>
      <c r="AA379" s="14"/>
      <c r="AB379" s="381" t="str">
        <f>IF(AND(Annexes!F7&gt;1,Annexes!F7&lt;=Annexes!H8),"OUI","NON")</f>
        <v>NON</v>
      </c>
      <c r="AC379" s="1"/>
      <c r="AD379" s="1"/>
      <c r="AE379" s="13"/>
    </row>
    <row r="380" spans="1:31" ht="16.5" customHeight="1">
      <c r="B380" s="103"/>
      <c r="C380" s="387"/>
      <c r="D380" s="306"/>
      <c r="E380" s="417"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417"/>
      <c r="G380" s="417"/>
      <c r="H380" s="417"/>
      <c r="I380" s="417"/>
      <c r="J380" s="417"/>
      <c r="K380" s="417"/>
      <c r="L380" s="417"/>
      <c r="M380" s="417"/>
      <c r="N380" s="417"/>
      <c r="O380" s="417"/>
      <c r="P380" s="1"/>
      <c r="T380" s="491" t="s">
        <v>455</v>
      </c>
      <c r="U380" s="490"/>
      <c r="V380" s="490"/>
      <c r="W380" s="490"/>
      <c r="X380" s="490"/>
      <c r="Y380" s="490"/>
      <c r="Z380" s="1"/>
      <c r="AA380" s="14"/>
      <c r="AB380" s="381" t="str">
        <f>IF(OR(Annexes!M17=TRUE,Annexes!M23=TRUE,Annexes!M24=TRUE),"OUI","NON")</f>
        <v>NON</v>
      </c>
      <c r="AC380" s="1"/>
      <c r="AD380" s="1"/>
      <c r="AE380" s="13"/>
    </row>
    <row r="381" spans="1:31" ht="16.5" customHeight="1">
      <c r="B381" s="103"/>
      <c r="C381" s="387"/>
      <c r="D381" s="306"/>
      <c r="E381" s="417"/>
      <c r="F381" s="417"/>
      <c r="G381" s="417"/>
      <c r="H381" s="417"/>
      <c r="I381" s="417"/>
      <c r="J381" s="417"/>
      <c r="K381" s="417"/>
      <c r="L381" s="417"/>
      <c r="M381" s="417"/>
      <c r="N381" s="417"/>
      <c r="O381" s="417"/>
      <c r="P381" s="1"/>
      <c r="T381" s="14"/>
      <c r="U381" s="490" t="s">
        <v>313</v>
      </c>
      <c r="V381" s="490"/>
      <c r="W381" s="490"/>
      <c r="X381" s="490"/>
      <c r="Y381" s="490"/>
      <c r="Z381" s="1"/>
      <c r="AA381" s="14"/>
      <c r="AB381" s="381" t="b">
        <f>IF(Annexes!M29=TRUE,TRUE,FALSE)</f>
        <v>0</v>
      </c>
      <c r="AC381" s="1"/>
      <c r="AD381" s="1"/>
      <c r="AE381" s="13"/>
    </row>
    <row r="382" spans="1:31" ht="16.5" customHeight="1">
      <c r="B382" s="168"/>
      <c r="C382" s="387"/>
      <c r="D382" s="306"/>
      <c r="E382" s="417"/>
      <c r="F382" s="417"/>
      <c r="G382" s="417"/>
      <c r="H382" s="417"/>
      <c r="I382" s="417"/>
      <c r="J382" s="417"/>
      <c r="K382" s="417"/>
      <c r="L382" s="417"/>
      <c r="M382" s="417"/>
      <c r="N382" s="417"/>
      <c r="O382" s="417"/>
      <c r="P382" s="1"/>
      <c r="T382" s="14"/>
      <c r="U382" s="490" t="s">
        <v>394</v>
      </c>
      <c r="V382" s="490"/>
      <c r="W382" s="490"/>
      <c r="X382" s="490"/>
      <c r="Y382" s="490"/>
      <c r="Z382" s="1"/>
      <c r="AA382" s="14"/>
      <c r="AB382" s="381" t="b">
        <f>IF(Annexes!M30=TRUE,TRUE,FALSE)</f>
        <v>0</v>
      </c>
      <c r="AC382" s="1"/>
      <c r="AD382" s="1"/>
      <c r="AE382" s="13"/>
    </row>
    <row r="383" spans="1:31" ht="16.5" customHeight="1">
      <c r="A383" s="99"/>
      <c r="B383" s="103"/>
      <c r="C383" s="387"/>
      <c r="D383" s="523"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523"/>
      <c r="F383" s="523"/>
      <c r="G383" s="523"/>
      <c r="H383" s="523"/>
      <c r="I383" s="523"/>
      <c r="J383" s="523"/>
      <c r="K383" s="523"/>
      <c r="L383" s="523"/>
      <c r="M383" s="523"/>
      <c r="N383" s="523"/>
      <c r="O383" s="523"/>
      <c r="P383" s="1"/>
      <c r="T383" s="14"/>
      <c r="U383" s="381"/>
      <c r="V383" s="381"/>
      <c r="W383" s="381"/>
      <c r="X383" s="381"/>
      <c r="Y383" s="381"/>
      <c r="Z383" s="1"/>
      <c r="AA383" s="14"/>
      <c r="AB383" s="381"/>
      <c r="AC383" s="1"/>
      <c r="AD383" s="1"/>
      <c r="AE383" s="13"/>
    </row>
    <row r="384" spans="1:31" ht="16.5" customHeight="1">
      <c r="A384" s="99"/>
      <c r="B384" s="103"/>
      <c r="C384" s="387"/>
      <c r="D384" s="524"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524"/>
      <c r="F384" s="524"/>
      <c r="G384" s="524"/>
      <c r="H384" s="524"/>
      <c r="I384" s="524"/>
      <c r="J384" s="524"/>
      <c r="K384" s="524"/>
      <c r="L384" s="524"/>
      <c r="M384" s="524"/>
      <c r="N384" s="524"/>
      <c r="O384" s="524"/>
      <c r="P384" s="1"/>
      <c r="T384" s="14"/>
      <c r="U384" s="525" t="s">
        <v>72</v>
      </c>
      <c r="V384" s="525"/>
      <c r="W384" s="525"/>
      <c r="X384" s="525"/>
      <c r="Y384" s="525"/>
      <c r="Z384" s="139"/>
      <c r="AA384" s="145"/>
      <c r="AB384" s="385" t="str">
        <f>IF(AB365="Oui","Oui","Non")</f>
        <v>Oui</v>
      </c>
      <c r="AC384" s="139"/>
      <c r="AD384" s="1"/>
      <c r="AE384" s="13"/>
    </row>
    <row r="385" spans="1:31" ht="16.5" customHeight="1">
      <c r="A385" s="99"/>
      <c r="B385" s="103"/>
      <c r="C385" s="387"/>
      <c r="D385" s="524"/>
      <c r="E385" s="524"/>
      <c r="F385" s="524"/>
      <c r="G385" s="524"/>
      <c r="H385" s="524"/>
      <c r="I385" s="524"/>
      <c r="J385" s="524"/>
      <c r="K385" s="524"/>
      <c r="L385" s="524"/>
      <c r="M385" s="524"/>
      <c r="N385" s="524"/>
      <c r="O385" s="524"/>
      <c r="P385" s="1"/>
      <c r="T385" s="14"/>
      <c r="U385" s="525" t="s">
        <v>84</v>
      </c>
      <c r="V385" s="525"/>
      <c r="W385" s="525"/>
      <c r="X385" s="525"/>
      <c r="Y385" s="525"/>
      <c r="Z385" s="139"/>
      <c r="AA385" s="145"/>
      <c r="AB385" s="385">
        <f>IF('Mon Entreprise'!K8&gt;=Annexes!O20,IF(AB354&gt;=AB356,AB354,AB356),IF(AB354&gt;=AB355,AB354,AB355))</f>
        <v>0</v>
      </c>
      <c r="AC385" s="139"/>
      <c r="AD385" s="1"/>
      <c r="AE385" s="13"/>
    </row>
    <row r="386" spans="1:31" ht="16.5" customHeight="1">
      <c r="B386" s="103"/>
      <c r="C386" s="387"/>
      <c r="D386" s="215" t="str">
        <f>IF(OR(AB378="OUI",AB381=TRUE),"- Sans ticket modérateur",IF(AND(OR(AB380="OUI",AB379="OUI"),OR(AB374&gt;=0.8,AB375&gt;=0.8,AB376&gt;=0.1)),"- La Perte de référence est plafonnée à 80 %, soit "&amp;ROUND(AB389,0)&amp;" €","- Sans ticket modérateur"))</f>
        <v>- Sans ticket modérateur</v>
      </c>
      <c r="E386" s="377"/>
      <c r="F386" s="377"/>
      <c r="G386" s="377"/>
      <c r="H386" s="377"/>
      <c r="I386" s="377"/>
      <c r="J386" s="377"/>
      <c r="K386" s="377"/>
      <c r="L386" s="377"/>
      <c r="M386" s="377"/>
      <c r="N386" s="377"/>
      <c r="O386" s="377"/>
      <c r="P386" s="1"/>
      <c r="T386" s="14"/>
      <c r="U386" s="525" t="s">
        <v>85</v>
      </c>
      <c r="V386" s="525"/>
      <c r="W386" s="525"/>
      <c r="X386" s="525"/>
      <c r="Y386" s="525"/>
      <c r="Z386" s="139"/>
      <c r="AA386" s="145"/>
      <c r="AB386" s="385">
        <f>IF('Mon Entreprise'!K8&gt;=Annexes!O20,IF(AB354&gt;=AB356,AE354,AE356),IF(AB354&gt;=AB355,AE354,AE355))</f>
        <v>0</v>
      </c>
      <c r="AC386" s="139"/>
      <c r="AD386" s="1"/>
      <c r="AE386" s="13"/>
    </row>
    <row r="387" spans="1:31" ht="16.5" customHeight="1" thickBot="1">
      <c r="B387" s="103"/>
      <c r="C387" s="387"/>
      <c r="D387" s="377"/>
      <c r="E387" s="377"/>
      <c r="F387" s="377"/>
      <c r="G387" s="377"/>
      <c r="H387" s="377"/>
      <c r="I387" s="377"/>
      <c r="J387" s="377"/>
      <c r="K387" s="377"/>
      <c r="L387" s="377"/>
      <c r="M387" s="377"/>
      <c r="N387" s="377"/>
      <c r="O387" s="377"/>
      <c r="P387" s="1"/>
      <c r="T387" s="14"/>
      <c r="U387" s="502" t="s">
        <v>74</v>
      </c>
      <c r="V387" s="502"/>
      <c r="W387" s="502"/>
      <c r="X387" s="502"/>
      <c r="Y387" s="502"/>
      <c r="Z387" s="139"/>
      <c r="AA387" s="145"/>
      <c r="AB387" s="385">
        <f>IF(OR(AB378="OUI",AB381=TRUE),1,IF(AND(OR(AB380="OUI",AB379="OUI"),OR(AB374&gt;=0.8,AB375&gt;=0.8,AB376&gt;=0.1)),0.8,1))</f>
        <v>1</v>
      </c>
      <c r="AC387" s="139"/>
      <c r="AD387" s="1"/>
      <c r="AE387" s="13"/>
    </row>
    <row r="388" spans="1:31" ht="16.5" customHeight="1">
      <c r="B388" s="103"/>
      <c r="C388" s="387"/>
      <c r="D388" s="508"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509"/>
      <c r="F388" s="509"/>
      <c r="G388" s="509"/>
      <c r="H388" s="509"/>
      <c r="I388" s="509"/>
      <c r="J388" s="509"/>
      <c r="K388" s="509"/>
      <c r="L388" s="509"/>
      <c r="M388" s="509"/>
      <c r="N388" s="509"/>
      <c r="O388" s="510"/>
      <c r="P388" s="1"/>
      <c r="T388" s="14"/>
      <c r="U388" s="502" t="s">
        <v>80</v>
      </c>
      <c r="V388" s="502"/>
      <c r="W388" s="502"/>
      <c r="X388" s="502"/>
      <c r="Y388" s="502"/>
      <c r="Z388" s="139"/>
      <c r="AA388" s="145"/>
      <c r="AB388" s="385">
        <f>IF('Mon Entreprise'!K8&gt;=Annexes!O20,IF(AB354&gt;=AB356,Y354,Y356),IF(AB354&gt;=AB355,Y354,Y355))</f>
        <v>0</v>
      </c>
      <c r="AC388" s="139"/>
      <c r="AD388" s="1"/>
      <c r="AE388" s="13"/>
    </row>
    <row r="389" spans="1:31" ht="16.5" customHeight="1">
      <c r="B389" s="173"/>
      <c r="C389" s="387"/>
      <c r="D389" s="511"/>
      <c r="E389" s="512"/>
      <c r="F389" s="512"/>
      <c r="G389" s="512"/>
      <c r="H389" s="512"/>
      <c r="I389" s="512"/>
      <c r="J389" s="512"/>
      <c r="K389" s="512"/>
      <c r="L389" s="512"/>
      <c r="M389" s="512"/>
      <c r="N389" s="512"/>
      <c r="O389" s="513"/>
      <c r="P389" s="1"/>
      <c r="T389" s="14"/>
      <c r="U389" s="490" t="s">
        <v>104</v>
      </c>
      <c r="V389" s="490"/>
      <c r="W389" s="490"/>
      <c r="X389" s="490"/>
      <c r="Y389" s="490"/>
      <c r="Z389" s="1"/>
      <c r="AA389" s="14"/>
      <c r="AB389" s="381">
        <f>IF(AB387=1,AB385,IF(AB385*AB387&gt;1500,IF(AB385&gt;1500,AB385*AB387,"Impossible"),IF(AB385&lt;1500,AB385,1500)))</f>
        <v>0</v>
      </c>
      <c r="AC389" s="1"/>
      <c r="AD389" s="1"/>
      <c r="AE389" s="13"/>
    </row>
    <row r="390" spans="1:31" ht="16.5" customHeight="1">
      <c r="B390" s="103"/>
      <c r="C390" s="387"/>
      <c r="D390" s="511"/>
      <c r="E390" s="512"/>
      <c r="F390" s="512"/>
      <c r="G390" s="512"/>
      <c r="H390" s="512"/>
      <c r="I390" s="512"/>
      <c r="J390" s="512"/>
      <c r="K390" s="512"/>
      <c r="L390" s="512"/>
      <c r="M390" s="512"/>
      <c r="N390" s="512"/>
      <c r="O390" s="513"/>
      <c r="P390" s="1"/>
      <c r="T390" s="14"/>
      <c r="U390" s="381"/>
      <c r="V390" s="381"/>
      <c r="W390" s="381"/>
      <c r="X390" s="381"/>
      <c r="Y390" s="381"/>
      <c r="Z390" s="1"/>
      <c r="AA390" s="1"/>
      <c r="AB390" s="1"/>
      <c r="AC390" s="1"/>
      <c r="AD390" s="1"/>
      <c r="AE390" s="13"/>
    </row>
    <row r="391" spans="1:31" ht="16.5" customHeight="1" thickBot="1">
      <c r="B391" s="103"/>
      <c r="C391" s="387"/>
      <c r="D391" s="514"/>
      <c r="E391" s="515"/>
      <c r="F391" s="515"/>
      <c r="G391" s="515"/>
      <c r="H391" s="515"/>
      <c r="I391" s="515"/>
      <c r="J391" s="515"/>
      <c r="K391" s="515"/>
      <c r="L391" s="515"/>
      <c r="M391" s="515"/>
      <c r="N391" s="515"/>
      <c r="O391" s="516"/>
      <c r="P391" s="1"/>
      <c r="T391" s="14"/>
      <c r="U391" s="490"/>
      <c r="V391" s="490"/>
      <c r="W391" s="490"/>
      <c r="X391" s="490"/>
      <c r="Y391" s="490"/>
      <c r="Z391" s="1"/>
      <c r="AA391" s="1"/>
      <c r="AB391" s="1"/>
      <c r="AC391" s="1"/>
      <c r="AD391" s="1"/>
      <c r="AE391" s="13"/>
    </row>
    <row r="392" spans="1:31" ht="16.5" customHeight="1">
      <c r="B392" s="103"/>
      <c r="C392" s="169"/>
      <c r="D392" s="174"/>
      <c r="E392" s="174"/>
      <c r="F392" s="174"/>
      <c r="G392" s="174"/>
      <c r="H392" s="174"/>
      <c r="I392" s="174"/>
      <c r="J392" s="174"/>
      <c r="K392" s="174"/>
      <c r="L392" s="174"/>
      <c r="M392" s="174"/>
      <c r="N392" s="174"/>
      <c r="O392" s="174"/>
      <c r="P392" s="1"/>
      <c r="T392" s="14"/>
      <c r="U392" s="381"/>
      <c r="V392" s="381"/>
      <c r="W392" s="381"/>
      <c r="X392" s="381"/>
      <c r="Y392" s="381"/>
      <c r="Z392" s="1"/>
      <c r="AA392" s="1"/>
      <c r="AB392" s="1"/>
      <c r="AC392" s="1"/>
      <c r="AD392" s="1"/>
      <c r="AE392" s="13"/>
    </row>
    <row r="393" spans="1:31" ht="16.5" customHeight="1">
      <c r="B393" s="103"/>
      <c r="C393" s="387"/>
      <c r="D393" s="377"/>
      <c r="E393" s="377"/>
      <c r="F393" s="377"/>
      <c r="G393" s="377"/>
      <c r="H393" s="377"/>
      <c r="I393" s="377"/>
      <c r="J393" s="377"/>
      <c r="K393" s="377"/>
      <c r="L393" s="377"/>
      <c r="M393" s="377"/>
      <c r="N393" s="377"/>
      <c r="O393" s="377"/>
      <c r="P393" s="1"/>
      <c r="T393" s="14"/>
      <c r="U393" s="1"/>
      <c r="V393" s="1"/>
      <c r="W393" s="1"/>
      <c r="X393" s="1"/>
      <c r="Y393" s="1"/>
      <c r="Z393" s="1"/>
      <c r="AA393" s="1"/>
      <c r="AB393" s="1"/>
      <c r="AC393" s="1"/>
      <c r="AD393" s="1"/>
      <c r="AE393" s="13"/>
    </row>
    <row r="394" spans="1:31" ht="16.5" customHeight="1">
      <c r="B394" s="103"/>
      <c r="C394" s="529" t="s">
        <v>453</v>
      </c>
      <c r="D394" s="529"/>
      <c r="E394" s="529"/>
      <c r="F394" s="529"/>
      <c r="G394" s="529"/>
      <c r="H394" s="529"/>
      <c r="I394" s="529"/>
      <c r="J394" s="529"/>
      <c r="K394" s="529"/>
      <c r="L394" s="529"/>
      <c r="M394" s="529"/>
      <c r="N394" s="529"/>
      <c r="O394" s="529"/>
      <c r="P394" s="1"/>
      <c r="T394" s="14"/>
      <c r="U394" s="1"/>
      <c r="V394" s="1"/>
      <c r="W394" s="1"/>
      <c r="X394" s="1"/>
      <c r="Y394" s="1"/>
      <c r="Z394" s="1"/>
      <c r="AA394" s="1"/>
      <c r="AB394" s="1"/>
      <c r="AC394" s="1"/>
      <c r="AD394" s="1"/>
      <c r="AE394" s="13"/>
    </row>
    <row r="395" spans="1:31" ht="16.5" customHeight="1">
      <c r="B395" s="103"/>
      <c r="C395" s="529"/>
      <c r="D395" s="529"/>
      <c r="E395" s="529"/>
      <c r="F395" s="529"/>
      <c r="G395" s="529"/>
      <c r="H395" s="529"/>
      <c r="I395" s="529"/>
      <c r="J395" s="529"/>
      <c r="K395" s="529"/>
      <c r="L395" s="529"/>
      <c r="M395" s="529"/>
      <c r="N395" s="529"/>
      <c r="O395" s="529"/>
      <c r="P395" s="1"/>
      <c r="T395" s="14"/>
      <c r="U395" s="1"/>
      <c r="V395" s="1"/>
      <c r="W395" s="1"/>
      <c r="X395" s="1"/>
      <c r="Y395" s="1"/>
      <c r="Z395" s="1"/>
      <c r="AA395" s="1"/>
      <c r="AB395" s="1"/>
      <c r="AC395" s="1"/>
      <c r="AD395" s="1"/>
      <c r="AE395" s="13"/>
    </row>
    <row r="396" spans="1:31" ht="16.5" customHeight="1">
      <c r="B396" s="103"/>
      <c r="C396" s="529"/>
      <c r="D396" s="529"/>
      <c r="E396" s="529"/>
      <c r="F396" s="529"/>
      <c r="G396" s="529"/>
      <c r="H396" s="529"/>
      <c r="I396" s="529"/>
      <c r="J396" s="529"/>
      <c r="K396" s="529"/>
      <c r="L396" s="529"/>
      <c r="M396" s="529"/>
      <c r="N396" s="529"/>
      <c r="O396" s="529"/>
      <c r="P396" s="1"/>
      <c r="T396" s="14"/>
      <c r="U396" s="1"/>
      <c r="V396" s="1"/>
      <c r="W396" s="1"/>
      <c r="X396" s="1"/>
      <c r="Y396" s="1"/>
      <c r="Z396" s="1"/>
      <c r="AA396" s="1"/>
      <c r="AB396" s="1"/>
      <c r="AC396" s="1"/>
      <c r="AD396" s="1"/>
      <c r="AE396" s="13"/>
    </row>
    <row r="397" spans="1:31" ht="16.5" customHeight="1">
      <c r="B397" s="173"/>
      <c r="C397" s="529"/>
      <c r="D397" s="529"/>
      <c r="E397" s="529"/>
      <c r="F397" s="529"/>
      <c r="G397" s="529"/>
      <c r="H397" s="529"/>
      <c r="I397" s="529"/>
      <c r="J397" s="529"/>
      <c r="K397" s="529"/>
      <c r="L397" s="529"/>
      <c r="M397" s="529"/>
      <c r="N397" s="529"/>
      <c r="O397" s="529"/>
      <c r="P397" s="1"/>
      <c r="T397" s="14"/>
      <c r="U397" s="1"/>
      <c r="V397" s="1"/>
      <c r="W397" s="1"/>
      <c r="X397" s="1"/>
      <c r="Y397" s="1"/>
      <c r="Z397" s="1"/>
      <c r="AA397" s="1"/>
      <c r="AB397" s="1"/>
      <c r="AC397" s="1"/>
      <c r="AD397" s="1"/>
      <c r="AE397" s="13"/>
    </row>
    <row r="398" spans="1:31" ht="16.5" customHeight="1">
      <c r="B398" s="173"/>
      <c r="C398" s="387"/>
      <c r="D398" s="306"/>
      <c r="E398" s="523"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523"/>
      <c r="G398" s="523"/>
      <c r="H398" s="523"/>
      <c r="I398" s="523"/>
      <c r="J398" s="523"/>
      <c r="K398" s="523"/>
      <c r="L398" s="523"/>
      <c r="M398" s="523"/>
      <c r="N398" s="523"/>
      <c r="O398" s="523"/>
      <c r="P398" s="1"/>
      <c r="T398" s="14"/>
      <c r="U398" s="502" t="s">
        <v>82</v>
      </c>
      <c r="V398" s="502"/>
      <c r="W398" s="502"/>
      <c r="X398" s="502"/>
      <c r="Y398" s="502"/>
      <c r="Z398" s="68"/>
      <c r="AA398" s="1"/>
      <c r="AB398" s="1">
        <f>IFERROR(IF(AB365="Non",0,IF(OR(AB381=TRUE,AND(AB368&lt;0.5,AB382=TRUE),(AB368&gt;=0.5)),IF(AB367&gt;Annexes!O5,Annexes!O5,ROUND(AB367,0)),0)),0)</f>
        <v>0</v>
      </c>
      <c r="AC398" s="1"/>
      <c r="AD398" s="1"/>
      <c r="AE398" s="13"/>
    </row>
    <row r="399" spans="1:31" ht="15" customHeight="1">
      <c r="B399" s="173"/>
      <c r="C399" s="387"/>
      <c r="D399" s="306"/>
      <c r="E399" s="523"/>
      <c r="F399" s="523"/>
      <c r="G399" s="523"/>
      <c r="H399" s="523"/>
      <c r="I399" s="523"/>
      <c r="J399" s="523"/>
      <c r="K399" s="523"/>
      <c r="L399" s="523"/>
      <c r="M399" s="523"/>
      <c r="N399" s="523"/>
      <c r="O399" s="523"/>
      <c r="P399" s="1"/>
      <c r="T399" s="14"/>
      <c r="U399" s="502" t="s">
        <v>81</v>
      </c>
      <c r="V399" s="502"/>
      <c r="W399" s="502"/>
      <c r="X399" s="502"/>
      <c r="Y399" s="502"/>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customHeight="1">
      <c r="B400" s="173"/>
      <c r="C400" s="387"/>
      <c r="D400" s="306"/>
      <c r="E400" s="523"/>
      <c r="F400" s="523"/>
      <c r="G400" s="523"/>
      <c r="H400" s="523"/>
      <c r="I400" s="523"/>
      <c r="J400" s="523"/>
      <c r="K400" s="523"/>
      <c r="L400" s="523"/>
      <c r="M400" s="523"/>
      <c r="N400" s="523"/>
      <c r="O400" s="523"/>
      <c r="P400" s="1"/>
      <c r="T400" s="14"/>
      <c r="U400" s="502" t="s">
        <v>399</v>
      </c>
      <c r="V400" s="502"/>
      <c r="W400" s="502"/>
      <c r="X400" s="502"/>
      <c r="Y400" s="502"/>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customHeight="1">
      <c r="B401" s="173"/>
      <c r="C401" s="387"/>
      <c r="D401" s="417"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417"/>
      <c r="F401" s="417"/>
      <c r="G401" s="417"/>
      <c r="H401" s="417"/>
      <c r="I401" s="417"/>
      <c r="J401" s="417"/>
      <c r="K401" s="417"/>
      <c r="L401" s="417"/>
      <c r="M401" s="417"/>
      <c r="N401" s="417"/>
      <c r="O401" s="417"/>
      <c r="P401" s="377"/>
      <c r="Q401" s="377"/>
      <c r="T401" s="14"/>
      <c r="U401" s="1"/>
      <c r="V401" s="1"/>
      <c r="W401" s="1"/>
      <c r="X401" s="1"/>
      <c r="Y401" s="1"/>
      <c r="Z401" s="1"/>
      <c r="AA401" s="1"/>
      <c r="AB401" s="1"/>
      <c r="AC401" s="1"/>
      <c r="AD401" s="1"/>
      <c r="AE401" s="13"/>
    </row>
    <row r="402" spans="2:31" ht="16.5" customHeight="1">
      <c r="B402" s="173"/>
      <c r="C402" s="387"/>
      <c r="D402" s="524"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524"/>
      <c r="F402" s="524"/>
      <c r="G402" s="524"/>
      <c r="H402" s="524"/>
      <c r="I402" s="524"/>
      <c r="J402" s="524"/>
      <c r="K402" s="524"/>
      <c r="L402" s="524"/>
      <c r="M402" s="524"/>
      <c r="N402" s="524"/>
      <c r="O402" s="524"/>
      <c r="P402" s="377"/>
      <c r="Q402" s="377"/>
      <c r="T402" s="14"/>
      <c r="U402" s="1"/>
      <c r="V402" s="1"/>
      <c r="W402" s="1"/>
      <c r="X402" s="1"/>
      <c r="Y402" s="1"/>
      <c r="Z402" s="1"/>
      <c r="AA402" s="1"/>
      <c r="AB402" s="1"/>
      <c r="AC402" s="1"/>
      <c r="AD402" s="1"/>
      <c r="AE402" s="13"/>
    </row>
    <row r="403" spans="2:31" ht="16.5" customHeight="1">
      <c r="B403" s="173"/>
      <c r="C403" s="387"/>
      <c r="D403" s="524"/>
      <c r="E403" s="524"/>
      <c r="F403" s="524"/>
      <c r="G403" s="524"/>
      <c r="H403" s="524"/>
      <c r="I403" s="524"/>
      <c r="J403" s="524"/>
      <c r="K403" s="524"/>
      <c r="L403" s="524"/>
      <c r="M403" s="524"/>
      <c r="N403" s="524"/>
      <c r="O403" s="524"/>
      <c r="P403" s="377"/>
      <c r="Q403" s="377"/>
      <c r="T403" s="14"/>
      <c r="U403" s="1"/>
      <c r="V403" s="1"/>
      <c r="W403" s="1"/>
      <c r="X403" s="1"/>
      <c r="Y403" s="1"/>
      <c r="Z403" s="1"/>
      <c r="AA403" s="1"/>
      <c r="AB403" s="1"/>
      <c r="AC403" s="1"/>
      <c r="AD403" s="1"/>
      <c r="AE403" s="13"/>
    </row>
    <row r="404" spans="2:31" ht="16.5" customHeight="1">
      <c r="B404" s="103"/>
      <c r="C404" s="387"/>
      <c r="D404" s="523"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523"/>
      <c r="F404" s="523"/>
      <c r="G404" s="523"/>
      <c r="H404" s="523"/>
      <c r="I404" s="523"/>
      <c r="J404" s="523"/>
      <c r="K404" s="523"/>
      <c r="L404" s="523"/>
      <c r="M404" s="523"/>
      <c r="N404" s="523"/>
      <c r="O404" s="523"/>
      <c r="P404" s="377"/>
      <c r="Q404" s="377"/>
      <c r="T404" s="14"/>
      <c r="U404" s="1"/>
      <c r="V404" s="1"/>
      <c r="W404" s="1"/>
      <c r="X404" s="1"/>
      <c r="Y404" s="1"/>
      <c r="Z404" s="1"/>
      <c r="AA404" s="1"/>
      <c r="AB404" s="1"/>
      <c r="AC404" s="1"/>
      <c r="AD404" s="1"/>
      <c r="AE404" s="13"/>
    </row>
    <row r="405" spans="2:31" ht="16.5" customHeight="1">
      <c r="B405" s="168"/>
      <c r="C405" s="387"/>
      <c r="D405" s="523"/>
      <c r="E405" s="523"/>
      <c r="F405" s="523"/>
      <c r="G405" s="523"/>
      <c r="H405" s="523"/>
      <c r="I405" s="523"/>
      <c r="J405" s="523"/>
      <c r="K405" s="523"/>
      <c r="L405" s="523"/>
      <c r="M405" s="523"/>
      <c r="N405" s="523"/>
      <c r="O405" s="523"/>
      <c r="P405" s="377"/>
      <c r="Q405" s="377"/>
      <c r="T405" s="14"/>
      <c r="U405" s="1"/>
      <c r="V405" s="1"/>
      <c r="W405" s="1"/>
      <c r="X405" s="1"/>
      <c r="Y405" s="1"/>
      <c r="Z405" s="1"/>
      <c r="AA405" s="1"/>
      <c r="AB405" s="1"/>
      <c r="AC405" s="1"/>
      <c r="AD405" s="1"/>
      <c r="AE405" s="13"/>
    </row>
    <row r="406" spans="2:31" ht="16.5" customHeight="1" thickBot="1">
      <c r="B406" s="168"/>
      <c r="C406" s="387"/>
      <c r="D406" s="205"/>
      <c r="E406" s="377"/>
      <c r="F406" s="377"/>
      <c r="G406" s="377"/>
      <c r="H406" s="377"/>
      <c r="I406" s="377"/>
      <c r="J406" s="377"/>
      <c r="K406" s="377"/>
      <c r="L406" s="377"/>
      <c r="M406" s="377"/>
      <c r="N406" s="377"/>
      <c r="O406" s="377"/>
      <c r="P406" s="377"/>
      <c r="Q406" s="377"/>
      <c r="T406" s="14"/>
      <c r="U406" s="1"/>
      <c r="V406" s="1"/>
      <c r="W406" s="1"/>
      <c r="X406" s="1"/>
      <c r="Y406" s="1"/>
      <c r="Z406" s="1"/>
      <c r="AA406" s="1"/>
      <c r="AB406" s="1"/>
      <c r="AC406" s="1"/>
      <c r="AD406" s="1"/>
      <c r="AE406" s="13"/>
    </row>
    <row r="407" spans="2:31" ht="16.5" customHeight="1">
      <c r="B407" s="103"/>
      <c r="C407" s="180"/>
      <c r="D407" s="527"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509"/>
      <c r="F407" s="509"/>
      <c r="G407" s="509"/>
      <c r="H407" s="509"/>
      <c r="I407" s="509"/>
      <c r="J407" s="509"/>
      <c r="K407" s="509"/>
      <c r="L407" s="509"/>
      <c r="M407" s="509"/>
      <c r="N407" s="509"/>
      <c r="O407" s="510"/>
      <c r="P407" s="377"/>
      <c r="Q407" s="377"/>
      <c r="T407" s="14"/>
      <c r="U407" s="1"/>
      <c r="V407" s="1"/>
      <c r="W407" s="1"/>
      <c r="X407" s="1"/>
      <c r="Y407" s="1"/>
      <c r="Z407" s="1"/>
      <c r="AA407" s="1"/>
      <c r="AB407" s="1"/>
      <c r="AC407" s="1"/>
      <c r="AD407" s="1"/>
      <c r="AE407" s="13"/>
    </row>
    <row r="408" spans="2:31" ht="16.5" customHeight="1">
      <c r="B408" s="103"/>
      <c r="C408" s="180"/>
      <c r="D408" s="511"/>
      <c r="E408" s="512"/>
      <c r="F408" s="512"/>
      <c r="G408" s="512"/>
      <c r="H408" s="512"/>
      <c r="I408" s="512"/>
      <c r="J408" s="512"/>
      <c r="K408" s="512"/>
      <c r="L408" s="512"/>
      <c r="M408" s="512"/>
      <c r="N408" s="512"/>
      <c r="O408" s="513"/>
      <c r="P408" s="377"/>
      <c r="Q408" s="377"/>
      <c r="T408" s="14"/>
      <c r="U408" s="1"/>
      <c r="V408" s="1"/>
      <c r="W408" s="1"/>
      <c r="X408" s="1"/>
      <c r="Y408" s="1"/>
      <c r="Z408" s="1"/>
      <c r="AA408" s="1"/>
      <c r="AB408" s="1"/>
      <c r="AC408" s="1"/>
      <c r="AD408" s="1"/>
      <c r="AE408" s="13"/>
    </row>
    <row r="409" spans="2:31" ht="16.5" customHeight="1">
      <c r="B409" s="103"/>
      <c r="C409" s="180"/>
      <c r="D409" s="511"/>
      <c r="E409" s="512"/>
      <c r="F409" s="512"/>
      <c r="G409" s="512"/>
      <c r="H409" s="512"/>
      <c r="I409" s="512"/>
      <c r="J409" s="512"/>
      <c r="K409" s="512"/>
      <c r="L409" s="512"/>
      <c r="M409" s="512"/>
      <c r="N409" s="512"/>
      <c r="O409" s="513"/>
      <c r="P409" s="175"/>
      <c r="Q409" s="175"/>
      <c r="T409" s="14"/>
      <c r="U409" s="1"/>
      <c r="V409" s="1"/>
      <c r="W409" s="1"/>
      <c r="X409" s="1"/>
      <c r="Y409" s="1"/>
      <c r="Z409" s="1"/>
      <c r="AA409" s="1"/>
      <c r="AB409" s="1"/>
      <c r="AC409" s="1"/>
      <c r="AD409" s="1"/>
      <c r="AE409" s="13"/>
    </row>
    <row r="410" spans="2:31" ht="16.5" customHeight="1" thickBot="1">
      <c r="B410" s="103"/>
      <c r="C410" s="180"/>
      <c r="D410" s="514"/>
      <c r="E410" s="515"/>
      <c r="F410" s="515"/>
      <c r="G410" s="515"/>
      <c r="H410" s="515"/>
      <c r="I410" s="515"/>
      <c r="J410" s="515"/>
      <c r="K410" s="515"/>
      <c r="L410" s="515"/>
      <c r="M410" s="515"/>
      <c r="N410" s="515"/>
      <c r="O410" s="516"/>
      <c r="T410" s="14"/>
      <c r="U410" s="1"/>
      <c r="V410" s="1"/>
      <c r="W410" s="1"/>
      <c r="X410" s="1"/>
      <c r="Y410" s="1"/>
      <c r="Z410" s="1"/>
      <c r="AA410" s="1"/>
      <c r="AB410" s="1"/>
      <c r="AC410" s="1"/>
      <c r="AD410" s="1"/>
      <c r="AE410" s="13"/>
    </row>
    <row r="411" spans="2:31" ht="16.5" customHeight="1">
      <c r="B411" s="5"/>
      <c r="C411" s="5"/>
      <c r="D411" s="531" t="str">
        <f>IF(AND(AB382=TRUE,AB381=FALSE,AB367&gt;1500),"L'aide est plafonné à 1 500 €, Si l'entreprise a subi une perte de moins de 50 % sur la période en comprenant le CA réalisé sur les activités de vente à distance avec retrait en magasin ou livraison sont à prendre en compte pour le calcul de la perte","")</f>
        <v/>
      </c>
      <c r="E411" s="531"/>
      <c r="F411" s="531"/>
      <c r="G411" s="531"/>
      <c r="H411" s="531"/>
      <c r="I411" s="531"/>
      <c r="J411" s="531"/>
      <c r="K411" s="531"/>
      <c r="L411" s="531"/>
      <c r="M411" s="531"/>
      <c r="N411" s="531"/>
      <c r="O411" s="531"/>
      <c r="P411" s="177"/>
      <c r="Q411" s="177"/>
      <c r="T411" s="14"/>
      <c r="U411" s="1"/>
      <c r="V411" s="1"/>
      <c r="W411" s="1"/>
      <c r="X411" s="1"/>
      <c r="Y411" s="1"/>
      <c r="Z411" s="1"/>
      <c r="AA411" s="1"/>
      <c r="AB411" s="1"/>
      <c r="AC411" s="1"/>
      <c r="AD411" s="1"/>
      <c r="AE411" s="13"/>
    </row>
    <row r="412" spans="2:31">
      <c r="B412" s="5"/>
      <c r="C412" s="5"/>
      <c r="D412" s="531"/>
      <c r="E412" s="531"/>
      <c r="F412" s="531"/>
      <c r="G412" s="531"/>
      <c r="H412" s="531"/>
      <c r="I412" s="531"/>
      <c r="J412" s="531"/>
      <c r="K412" s="531"/>
      <c r="L412" s="531"/>
      <c r="M412" s="531"/>
      <c r="N412" s="531"/>
      <c r="O412" s="531"/>
      <c r="P412" s="177"/>
      <c r="Q412" s="177"/>
      <c r="T412" s="14"/>
      <c r="U412" s="1"/>
      <c r="V412" s="1"/>
      <c r="W412" s="1"/>
      <c r="X412" s="1"/>
      <c r="Y412" s="1"/>
      <c r="Z412" s="1"/>
      <c r="AA412" s="1"/>
      <c r="AB412" s="1"/>
      <c r="AC412" s="1"/>
      <c r="AD412" s="1"/>
      <c r="AE412" s="13"/>
    </row>
    <row r="413" spans="2:31">
      <c r="D413" s="177"/>
      <c r="E413" s="177"/>
      <c r="F413" s="177"/>
      <c r="G413" s="177"/>
      <c r="H413" s="177"/>
      <c r="I413" s="177"/>
      <c r="J413" s="177"/>
      <c r="K413" s="177"/>
      <c r="L413" s="177"/>
      <c r="M413" s="177"/>
      <c r="N413" s="177"/>
      <c r="O413" s="177"/>
      <c r="P413" s="175"/>
      <c r="Q413" s="175"/>
      <c r="T413" s="14"/>
      <c r="U413" s="1"/>
      <c r="V413" s="1"/>
      <c r="W413" s="1"/>
      <c r="X413" s="1"/>
      <c r="Y413" s="1"/>
      <c r="Z413" s="1"/>
      <c r="AA413" s="1"/>
      <c r="AB413" s="1"/>
      <c r="AC413" s="1"/>
      <c r="AD413" s="1"/>
      <c r="AE413" s="13"/>
    </row>
    <row r="414" spans="2:31" ht="16.5" thickBot="1">
      <c r="B414" s="220"/>
      <c r="C414" s="488" t="s">
        <v>461</v>
      </c>
      <c r="D414" s="488"/>
      <c r="E414" s="488"/>
      <c r="F414" s="488"/>
      <c r="G414" s="488"/>
      <c r="H414" s="488"/>
      <c r="I414" s="221"/>
      <c r="J414" s="221"/>
      <c r="K414" s="221"/>
      <c r="L414" s="221"/>
      <c r="M414" s="221"/>
      <c r="N414" s="221"/>
      <c r="O414" s="221"/>
      <c r="T414" s="16"/>
      <c r="U414" s="11"/>
      <c r="V414" s="11"/>
      <c r="W414" s="11"/>
      <c r="X414" s="11"/>
      <c r="Y414" s="11"/>
      <c r="Z414" s="11"/>
      <c r="AA414" s="11"/>
      <c r="AB414" s="11"/>
      <c r="AC414" s="11"/>
      <c r="AD414" s="11"/>
      <c r="AE414" s="12"/>
    </row>
    <row r="415" spans="2:31" ht="15" customHeight="1">
      <c r="B415" s="63"/>
      <c r="C415" s="24"/>
      <c r="D415" s="24"/>
      <c r="E415" s="24"/>
      <c r="F415" s="24"/>
      <c r="G415" s="24"/>
      <c r="H415" s="63"/>
      <c r="I415" s="1"/>
      <c r="J415" s="1"/>
      <c r="K415" s="1"/>
      <c r="L415" s="1"/>
      <c r="M415" s="1"/>
      <c r="N415" s="1"/>
      <c r="O415" s="1"/>
      <c r="T415" s="14"/>
      <c r="U415" s="1"/>
      <c r="V415" s="1"/>
      <c r="W415" s="1"/>
      <c r="X415" s="1"/>
      <c r="Y415" s="1"/>
      <c r="Z415" s="1"/>
      <c r="AA415" s="1"/>
      <c r="AB415" s="1"/>
      <c r="AC415" s="1"/>
      <c r="AD415" s="1"/>
      <c r="AE415" s="13"/>
    </row>
    <row r="416" spans="2:31" ht="15" customHeight="1">
      <c r="B416" s="103"/>
      <c r="C416" s="489" t="s">
        <v>471</v>
      </c>
      <c r="D416" s="489"/>
      <c r="E416" s="489"/>
      <c r="F416" s="489"/>
      <c r="G416" s="489"/>
      <c r="H416" s="489"/>
      <c r="I416" s="489"/>
      <c r="J416" s="489"/>
      <c r="K416" s="489"/>
      <c r="L416" s="489"/>
      <c r="M416" s="489"/>
      <c r="N416" s="489"/>
      <c r="O416" s="489"/>
      <c r="P416" s="1"/>
      <c r="T416" s="25"/>
      <c r="U416" s="490" t="s">
        <v>20</v>
      </c>
      <c r="V416" s="490"/>
      <c r="W416" s="490"/>
      <c r="X416" s="1"/>
      <c r="Y416" s="390" t="s">
        <v>6</v>
      </c>
      <c r="Z416" s="390"/>
      <c r="AA416" s="390"/>
      <c r="AB416" s="390" t="s">
        <v>23</v>
      </c>
      <c r="AC416" s="390"/>
      <c r="AD416" s="390"/>
      <c r="AE416" s="26" t="s">
        <v>24</v>
      </c>
    </row>
    <row r="417" spans="2:31" ht="15.75" customHeight="1">
      <c r="B417" s="103"/>
      <c r="C417" s="387"/>
      <c r="D417" s="60" t="s">
        <v>435</v>
      </c>
      <c r="E417" s="387"/>
      <c r="F417" s="387"/>
      <c r="G417" s="387"/>
      <c r="H417" s="387"/>
      <c r="I417" s="387"/>
      <c r="J417" s="387"/>
      <c r="K417" s="387"/>
      <c r="L417" s="387"/>
      <c r="M417" s="387"/>
      <c r="N417" s="387"/>
      <c r="O417" s="387"/>
      <c r="P417" s="1"/>
      <c r="T417" s="25"/>
      <c r="U417" s="390"/>
      <c r="V417" s="390"/>
      <c r="W417" s="390"/>
      <c r="X417" s="1"/>
      <c r="Y417" s="390"/>
      <c r="Z417" s="390"/>
      <c r="AA417" s="390"/>
      <c r="AB417" s="390"/>
      <c r="AC417" s="390"/>
      <c r="AD417" s="390"/>
      <c r="AE417" s="26"/>
    </row>
    <row r="418" spans="2:31" ht="16.5" hidden="1" thickBot="1">
      <c r="B418" s="103"/>
      <c r="C418" s="387"/>
      <c r="D418" s="60"/>
      <c r="E418" s="387"/>
      <c r="F418" s="387"/>
      <c r="G418" s="387"/>
      <c r="H418" s="387"/>
      <c r="I418" s="387"/>
      <c r="J418" s="387"/>
      <c r="K418" s="387"/>
      <c r="L418" s="387"/>
      <c r="M418" s="387"/>
      <c r="N418" s="387"/>
      <c r="O418" s="387"/>
      <c r="P418" s="1"/>
      <c r="T418" s="491" t="s">
        <v>460</v>
      </c>
      <c r="U418" s="490"/>
      <c r="V418" s="490"/>
      <c r="W418" s="490"/>
      <c r="X418" s="1"/>
      <c r="Y418" s="7">
        <f>'Mon Entreprise'!I130</f>
        <v>0</v>
      </c>
      <c r="Z418" s="133"/>
      <c r="AA418" s="21"/>
      <c r="AB418" s="7">
        <f>IF('Mon Entreprise'!I130-'Mon Entreprise'!M130&lt;0,0,'Mon Entreprise'!I130-'Mon Entreprise'!M130)</f>
        <v>0</v>
      </c>
      <c r="AC418" s="13"/>
      <c r="AD418" s="1"/>
      <c r="AE418" s="27">
        <f>IFERROR(1-'Mon Entreprise'!M130/'Mon Entreprise'!I130,0)</f>
        <v>0</v>
      </c>
    </row>
    <row r="419" spans="2:31" ht="15.75" hidden="1">
      <c r="B419" s="103"/>
      <c r="C419" s="387"/>
      <c r="D419" s="492" t="str">
        <f>IFERROR(IF(AND(AB462=0,AB463=0,AB464=0),"Vous ne pouvez pas bénéficier du fonds de solidarité pour le mois de Mai 2021",IF(AND(AB464&gt;AB463,AB464&gt;AB462),"Votre entreprise peut bénéficier d'une aide de "&amp;AB464&amp;"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d'outre-mer",IF(AB463&gt;AB462,"Votre entreprise peut bénéficier d'une aide de "&amp;AB463&amp;"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"&amp;AB462&amp;" €, au titre d'une perte d'au-moins 50 % de votre CA en Mai 2021"))),"Vous n'avez pas indiqué de chiffre d'affaires de référence")</f>
        <v>Vous ne pouvez pas bénéficier du fonds de solidarité pour le mois de Mai 2021</v>
      </c>
      <c r="E419" s="493"/>
      <c r="F419" s="493"/>
      <c r="G419" s="493"/>
      <c r="H419" s="493"/>
      <c r="I419" s="493"/>
      <c r="J419" s="493"/>
      <c r="K419" s="493"/>
      <c r="L419" s="493"/>
      <c r="M419" s="493"/>
      <c r="N419" s="493"/>
      <c r="O419" s="494"/>
      <c r="P419" s="1"/>
      <c r="T419" s="491" t="s">
        <v>25</v>
      </c>
      <c r="U419" s="490"/>
      <c r="V419" s="490"/>
      <c r="W419" s="490"/>
      <c r="X419" s="1"/>
      <c r="Y419" s="7">
        <f>'Mon Entreprise'!I98</f>
        <v>0</v>
      </c>
      <c r="Z419" s="133"/>
      <c r="AA419" s="21"/>
      <c r="AB419" s="7">
        <f>IF('Mon Entreprise'!I98-'Mon Entreprise'!M130&lt;0,0,'Mon Entreprise'!I98-'Mon Entreprise'!M130)</f>
        <v>0</v>
      </c>
      <c r="AC419" s="36"/>
      <c r="AD419" s="1"/>
      <c r="AE419" s="27">
        <f>IFERROR(1-'Mon Entreprise'!M130/'Mon Entreprise'!I98,0)</f>
        <v>0</v>
      </c>
    </row>
    <row r="420" spans="2:31" ht="15.75" hidden="1" customHeight="1">
      <c r="B420" s="103"/>
      <c r="C420" s="387"/>
      <c r="D420" s="495"/>
      <c r="E420" s="496"/>
      <c r="F420" s="496"/>
      <c r="G420" s="496"/>
      <c r="H420" s="496"/>
      <c r="I420" s="496"/>
      <c r="J420" s="496"/>
      <c r="K420" s="496"/>
      <c r="L420" s="496"/>
      <c r="M420" s="496"/>
      <c r="N420" s="496"/>
      <c r="O420" s="497"/>
      <c r="P420" s="1"/>
      <c r="T420" s="501" t="s">
        <v>22</v>
      </c>
      <c r="U420" s="502"/>
      <c r="V420" s="502"/>
      <c r="W420" s="502"/>
      <c r="X420" s="139"/>
      <c r="Y420" s="140" t="str">
        <f>IF('Mon Entreprise'!I148="","NC",'Mon Entreprise'!I148)</f>
        <v>NC</v>
      </c>
      <c r="Z420" s="191"/>
      <c r="AA420" s="192"/>
      <c r="AB420" s="143" t="str">
        <f>IFERROR(IF('Mon Entreprise'!I148-'Mon Entreprise'!M130&lt;0,0,'Mon Entreprise'!I148-'Mon Entreprise'!M130),"NC")</f>
        <v>NC</v>
      </c>
      <c r="AC420" s="193"/>
      <c r="AD420" s="139"/>
      <c r="AE420" s="146" t="str">
        <f>IFERROR(1-'Mon Entreprise'!M130/'Mon Entreprise'!I148,"NC")</f>
        <v>NC</v>
      </c>
    </row>
    <row r="421" spans="2:31" ht="15.75" hidden="1" customHeight="1">
      <c r="B421" s="103"/>
      <c r="C421" s="387"/>
      <c r="D421" s="495"/>
      <c r="E421" s="496"/>
      <c r="F421" s="496"/>
      <c r="G421" s="496"/>
      <c r="H421" s="496"/>
      <c r="I421" s="496"/>
      <c r="J421" s="496"/>
      <c r="K421" s="496"/>
      <c r="L421" s="496"/>
      <c r="M421" s="496"/>
      <c r="N421" s="496"/>
      <c r="O421" s="497"/>
      <c r="P421" s="1"/>
      <c r="T421" s="388"/>
      <c r="U421" s="385"/>
      <c r="V421" s="385"/>
      <c r="W421" s="385"/>
      <c r="X421" s="139"/>
      <c r="Y421" s="140"/>
      <c r="Z421" s="141"/>
      <c r="AA421" s="192"/>
      <c r="AB421" s="143"/>
      <c r="AC421" s="385"/>
      <c r="AD421" s="139"/>
      <c r="AE421" s="146"/>
    </row>
    <row r="422" spans="2:31" ht="15.75" hidden="1" customHeight="1">
      <c r="B422" s="103"/>
      <c r="C422" s="387"/>
      <c r="D422" s="495"/>
      <c r="E422" s="496"/>
      <c r="F422" s="496"/>
      <c r="G422" s="496"/>
      <c r="H422" s="496"/>
      <c r="I422" s="496"/>
      <c r="J422" s="496"/>
      <c r="K422" s="496"/>
      <c r="L422" s="496"/>
      <c r="M422" s="496"/>
      <c r="N422" s="496"/>
      <c r="O422" s="497"/>
      <c r="P422" s="1"/>
      <c r="T422" s="14"/>
      <c r="U422" s="1"/>
      <c r="V422" s="1"/>
      <c r="W422" s="1"/>
      <c r="X422" s="1"/>
      <c r="Y422" s="1"/>
      <c r="Z422" s="1"/>
      <c r="AA422" s="1"/>
      <c r="AB422" s="1"/>
      <c r="AC422" s="1"/>
      <c r="AD422" s="1"/>
      <c r="AE422" s="13"/>
    </row>
    <row r="423" spans="2:31" ht="15.75" hidden="1" customHeight="1">
      <c r="B423" s="103"/>
      <c r="C423" s="387"/>
      <c r="D423" s="495"/>
      <c r="E423" s="496"/>
      <c r="F423" s="496"/>
      <c r="G423" s="496"/>
      <c r="H423" s="496"/>
      <c r="I423" s="496"/>
      <c r="J423" s="496"/>
      <c r="K423" s="496"/>
      <c r="L423" s="496"/>
      <c r="M423" s="496"/>
      <c r="N423" s="496"/>
      <c r="O423" s="497"/>
      <c r="P423" s="1"/>
      <c r="T423" s="14"/>
      <c r="AC423" s="1"/>
      <c r="AD423" s="1"/>
      <c r="AE423" s="13"/>
    </row>
    <row r="424" spans="2:31" ht="15.75" hidden="1" customHeight="1" thickBot="1">
      <c r="B424" s="103"/>
      <c r="C424" s="387"/>
      <c r="D424" s="498"/>
      <c r="E424" s="499"/>
      <c r="F424" s="499"/>
      <c r="G424" s="499"/>
      <c r="H424" s="499"/>
      <c r="I424" s="499"/>
      <c r="J424" s="499"/>
      <c r="K424" s="499"/>
      <c r="L424" s="499"/>
      <c r="M424" s="499"/>
      <c r="N424" s="499"/>
      <c r="O424" s="500"/>
      <c r="P424" s="1"/>
      <c r="T424" s="14"/>
      <c r="AC424" s="1"/>
      <c r="AD424" s="1"/>
      <c r="AE424" s="13"/>
    </row>
    <row r="425" spans="2:31" ht="16.5" hidden="1" customHeight="1">
      <c r="B425" s="103"/>
      <c r="C425" s="387"/>
      <c r="D425" s="330" t="s">
        <v>462</v>
      </c>
      <c r="E425" s="387"/>
      <c r="F425" s="387"/>
      <c r="G425" s="387"/>
      <c r="H425" s="387"/>
      <c r="I425" s="387"/>
      <c r="J425" s="387"/>
      <c r="K425" s="387"/>
      <c r="L425" s="387"/>
      <c r="M425" s="387"/>
      <c r="N425" s="387"/>
      <c r="O425" s="387"/>
      <c r="P425" s="1"/>
      <c r="T425" s="14"/>
      <c r="AC425" s="1"/>
      <c r="AD425" s="1"/>
      <c r="AE425" s="13"/>
    </row>
    <row r="426" spans="2:31" ht="15.75">
      <c r="B426" s="103"/>
      <c r="C426" s="78"/>
      <c r="D426" s="78"/>
      <c r="E426" s="78"/>
      <c r="F426" s="78"/>
      <c r="G426" s="78"/>
      <c r="H426" s="78"/>
      <c r="I426" s="78"/>
      <c r="J426" s="78"/>
      <c r="K426" s="78"/>
      <c r="L426" s="78"/>
      <c r="M426" s="78"/>
      <c r="N426" s="78"/>
      <c r="O426" s="78"/>
      <c r="P426" s="1"/>
      <c r="T426" s="14"/>
      <c r="U426" s="1"/>
      <c r="V426" s="1"/>
      <c r="W426" s="1"/>
      <c r="X426" s="1"/>
      <c r="Y426" s="1"/>
      <c r="Z426" s="1"/>
      <c r="AA426" s="1"/>
      <c r="AB426" s="1"/>
      <c r="AC426" s="1"/>
      <c r="AD426" s="1"/>
      <c r="AE426" s="13"/>
    </row>
    <row r="427" spans="2:31" ht="15.75">
      <c r="B427" s="103"/>
      <c r="C427" s="387"/>
      <c r="D427" s="60"/>
      <c r="E427" s="387"/>
      <c r="F427" s="387"/>
      <c r="G427" s="387"/>
      <c r="H427" s="387"/>
      <c r="I427" s="387"/>
      <c r="J427" s="387"/>
      <c r="K427" s="387"/>
      <c r="L427" s="387"/>
      <c r="M427" s="387"/>
      <c r="N427" s="387"/>
      <c r="O427" s="387"/>
      <c r="P427" s="1"/>
      <c r="T427" s="14"/>
      <c r="U427" s="1"/>
      <c r="V427" s="1"/>
      <c r="W427" s="1"/>
      <c r="X427" s="1"/>
      <c r="Y427" s="1"/>
      <c r="Z427" s="1"/>
      <c r="AA427" s="1"/>
      <c r="AB427" s="1"/>
      <c r="AC427" s="1"/>
      <c r="AD427" s="1"/>
      <c r="AE427" s="13"/>
    </row>
    <row r="428" spans="2:31" ht="15.75">
      <c r="B428" s="103"/>
      <c r="C428" s="387" t="s">
        <v>463</v>
      </c>
      <c r="D428" s="60"/>
      <c r="E428" s="387"/>
      <c r="F428" s="387"/>
      <c r="G428" s="387"/>
      <c r="H428" s="387"/>
      <c r="I428" s="387"/>
      <c r="J428" s="387"/>
      <c r="K428" s="387"/>
      <c r="L428" s="387"/>
      <c r="M428" s="387"/>
      <c r="N428" s="387"/>
      <c r="O428" s="387"/>
      <c r="P428" s="1"/>
      <c r="T428" s="14"/>
      <c r="U428" s="1"/>
      <c r="V428" s="1"/>
      <c r="W428" s="1"/>
      <c r="X428" s="1"/>
      <c r="Y428" s="1"/>
      <c r="Z428" s="1"/>
      <c r="AA428" s="1"/>
      <c r="AB428" s="1"/>
      <c r="AC428" s="1"/>
      <c r="AD428" s="1"/>
      <c r="AE428" s="13"/>
    </row>
    <row r="429" spans="2:31" ht="15.75">
      <c r="B429" s="103"/>
      <c r="C429" s="380" t="s">
        <v>466</v>
      </c>
      <c r="D429" s="60"/>
      <c r="E429" s="387"/>
      <c r="F429" s="387"/>
      <c r="G429" s="387"/>
      <c r="H429" s="387"/>
      <c r="I429" s="387"/>
      <c r="J429" s="387"/>
      <c r="K429" s="387"/>
      <c r="L429" s="387"/>
      <c r="M429" s="387"/>
      <c r="N429" s="387"/>
      <c r="O429" s="387"/>
      <c r="P429" s="1"/>
      <c r="T429" s="14"/>
      <c r="U429" s="506" t="s">
        <v>72</v>
      </c>
      <c r="V429" s="506"/>
      <c r="W429" s="506"/>
      <c r="X429" s="506"/>
      <c r="Y429" s="506"/>
      <c r="Z429" s="1"/>
      <c r="AA429" s="14"/>
      <c r="AB429" s="385" t="str">
        <f>IF('Mon Entreprise'!K8&lt;=Annexes!R15,"Oui","Non")</f>
        <v>Oui</v>
      </c>
      <c r="AC429" s="1"/>
      <c r="AD429" s="1"/>
      <c r="AE429" s="13"/>
    </row>
    <row r="430" spans="2:31" ht="15.75">
      <c r="B430" s="168"/>
      <c r="C430" s="387"/>
      <c r="D430" s="60" t="str">
        <f>IFERROR(IF('Mon Entreprise'!K8&gt;=Annexes!O20,IF(AB418&gt;=AB420,"Le CA de référence est celui de Mai 2019, soit une perte de "&amp;ROUND(AB418,0)&amp;" €"&amp;" ==&gt; "&amp;ROUND(AE418*100,0)&amp;" %","Le CA de référence est celui de la création, soit une perte de "&amp;ROUND(AB420,0)&amp;" €"&amp;" ==&gt; "&amp;ROUND(AE420*100,0)&amp;" %"),IF(AB418&gt;=AB419,"Le CA de référence est celui de Mai 2019, soit une perte de "&amp;ROUND(AB418,0)&amp;" €"&amp;" ==&gt; "&amp;ROUND(AE418*100,0)&amp;" %","Le CA de référence est celui de l'exercice 2019, soit une perte de "&amp;ROUND(AB419,0)&amp;" €"&amp;" ==&gt; "&amp;ROUND(AE419*100,0)&amp;" %")),"")</f>
        <v>Le CA de référence est celui de Mai 2019, soit une perte de 0 € ==&gt; 0 %</v>
      </c>
      <c r="E430" s="387"/>
      <c r="F430" s="387"/>
      <c r="G430" s="387"/>
      <c r="H430" s="387"/>
      <c r="I430" s="387"/>
      <c r="J430" s="387"/>
      <c r="K430" s="387"/>
      <c r="L430" s="387"/>
      <c r="M430" s="387"/>
      <c r="N430" s="387"/>
      <c r="O430" s="387"/>
      <c r="P430" s="1"/>
      <c r="T430" s="14"/>
      <c r="U430" s="386"/>
      <c r="V430" s="506" t="s">
        <v>393</v>
      </c>
      <c r="W430" s="506"/>
      <c r="X430" s="506"/>
      <c r="Y430" s="506"/>
      <c r="Z430" s="1"/>
      <c r="AA430" s="14"/>
      <c r="AB430" s="385">
        <f>IF('Mon Entreprise'!K8&gt;=Annexes!O20,IF(Y418&gt;=Y420,Y418,Y420),IF(Y418&gt;=Y419,Y418,Y419))</f>
        <v>0</v>
      </c>
      <c r="AC430" s="1"/>
      <c r="AD430" s="1"/>
      <c r="AE430" s="13"/>
    </row>
    <row r="431" spans="2:31" ht="15.75">
      <c r="B431" s="168"/>
      <c r="C431" s="387"/>
      <c r="D431" s="507"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 de prendre"&amp;" celui de Mai 2019 (...), soit "&amp;ROUND(AB418,0)&amp;" €"&amp;" ==&gt; "&amp;ROUND(AE418*100,0)&amp;" %","A noter qu'il convient de choisir l'option retenue par l'entreprise lors de sa demande au titre du mois Février 2021, ou "&amp;"a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31" s="507"/>
      <c r="F431" s="507"/>
      <c r="G431" s="507"/>
      <c r="H431" s="507"/>
      <c r="I431" s="507"/>
      <c r="J431" s="507"/>
      <c r="K431" s="507"/>
      <c r="L431" s="507"/>
      <c r="M431" s="507"/>
      <c r="N431" s="507"/>
      <c r="O431" s="507"/>
      <c r="P431" s="1"/>
      <c r="T431" s="14"/>
      <c r="U431" s="506" t="s">
        <v>84</v>
      </c>
      <c r="V431" s="506"/>
      <c r="W431" s="506"/>
      <c r="X431" s="506"/>
      <c r="Y431" s="506"/>
      <c r="Z431" s="1"/>
      <c r="AA431" s="14"/>
      <c r="AB431" s="381">
        <f>IF('Mon Entreprise'!K8&gt;=Annexes!O20,IF(AB418&gt;=AB420,AB418,AB420),IF(AB418&gt;=AB419,AB418,AB419))</f>
        <v>0</v>
      </c>
      <c r="AC431" s="1"/>
      <c r="AD431" s="1"/>
      <c r="AE431" s="13"/>
    </row>
    <row r="432" spans="2:31" ht="15.75">
      <c r="B432" s="168"/>
      <c r="C432" s="387"/>
      <c r="D432" s="507"/>
      <c r="E432" s="507"/>
      <c r="F432" s="507"/>
      <c r="G432" s="507"/>
      <c r="H432" s="507"/>
      <c r="I432" s="507"/>
      <c r="J432" s="507"/>
      <c r="K432" s="507"/>
      <c r="L432" s="507"/>
      <c r="M432" s="507"/>
      <c r="N432" s="507"/>
      <c r="O432" s="507"/>
      <c r="P432" s="1"/>
      <c r="T432" s="14"/>
      <c r="U432" s="506" t="s">
        <v>85</v>
      </c>
      <c r="V432" s="506"/>
      <c r="W432" s="506"/>
      <c r="X432" s="506"/>
      <c r="Y432" s="506"/>
      <c r="Z432" s="1"/>
      <c r="AA432" s="14"/>
      <c r="AB432" s="19">
        <f>IF('Mon Entreprise'!K8&gt;=Annexes!O20,IF(AB418&gt;=AB420,AE418,AE420),IF(AB418&gt;=AB419,AE418,AE419))</f>
        <v>0</v>
      </c>
      <c r="AC432" s="1"/>
      <c r="AD432" s="1"/>
      <c r="AE432" s="13"/>
    </row>
    <row r="433" spans="1:31" ht="16.5" thickBot="1">
      <c r="B433" s="103"/>
      <c r="C433" s="387"/>
      <c r="D433" s="60"/>
      <c r="E433" s="387"/>
      <c r="F433" s="387"/>
      <c r="G433" s="387"/>
      <c r="H433" s="387"/>
      <c r="I433" s="387"/>
      <c r="J433" s="387"/>
      <c r="K433" s="387"/>
      <c r="L433" s="387"/>
      <c r="M433" s="387"/>
      <c r="N433" s="387"/>
      <c r="O433" s="387"/>
      <c r="P433" s="1"/>
      <c r="T433" s="14"/>
      <c r="U433" s="1"/>
      <c r="V433" s="1"/>
      <c r="W433" s="1"/>
      <c r="X433" s="1"/>
      <c r="Y433" s="1"/>
      <c r="Z433" s="1"/>
      <c r="AA433" s="1"/>
      <c r="AB433" s="1"/>
      <c r="AC433" s="1"/>
      <c r="AD433" s="1"/>
      <c r="AE433" s="13"/>
    </row>
    <row r="434" spans="1:31" ht="15.75">
      <c r="B434" s="168"/>
      <c r="C434" s="387"/>
      <c r="D434" s="508" t="str">
        <f>IFERROR(IF(AB429="Non","Vous avez débuté votre activité après le 31 Janvier 2020, vous ne pouvez donc pas bénéficier de cette aide",IF(OR(AB445=TRUE,AND(AB432&lt;0.5,AB446=TRUE),(AB432&gt;=0.5)),IF(AB431&gt;Annexes!O5,"Dans votre cas, l'aide est Plafonnée, à "&amp;Annexes!O5&amp;" € pour le mois de Mai","Vous pouvez bénéficier, au titre de cette aide, d'un montant de "&amp;ROUND(AB431,0)&amp;" € pour le mois de Mai"),"L'entreprise n'a pas une perte d'au moins 50 % en Mai 2021 ou n'a pas été en fermeture Administrative")),"Vous n'avez pas indiqué de chiffre d'affaires de référence")</f>
        <v>L'entreprise n'a pas une perte d'au moins 50 % en Mai 2021 ou n'a pas été en fermeture Administrative</v>
      </c>
      <c r="E434" s="509"/>
      <c r="F434" s="509"/>
      <c r="G434" s="509"/>
      <c r="H434" s="509"/>
      <c r="I434" s="509"/>
      <c r="J434" s="509"/>
      <c r="K434" s="509"/>
      <c r="L434" s="509"/>
      <c r="M434" s="509"/>
      <c r="N434" s="509"/>
      <c r="O434" s="510"/>
      <c r="P434" s="1"/>
      <c r="T434" s="14"/>
      <c r="U434" s="1"/>
      <c r="V434" s="1"/>
      <c r="W434" s="1"/>
      <c r="X434" s="1"/>
      <c r="Y434" s="1"/>
      <c r="Z434" s="1"/>
      <c r="AA434" s="1"/>
      <c r="AB434" s="1"/>
      <c r="AC434" s="1"/>
      <c r="AD434" s="1"/>
      <c r="AE434" s="13"/>
    </row>
    <row r="435" spans="1:31" ht="15.75" customHeight="1">
      <c r="B435" s="168"/>
      <c r="C435" s="387"/>
      <c r="D435" s="511"/>
      <c r="E435" s="512"/>
      <c r="F435" s="512"/>
      <c r="G435" s="512"/>
      <c r="H435" s="512"/>
      <c r="I435" s="512"/>
      <c r="J435" s="512"/>
      <c r="K435" s="512"/>
      <c r="L435" s="512"/>
      <c r="M435" s="512"/>
      <c r="N435" s="512"/>
      <c r="O435" s="513"/>
      <c r="P435" s="1"/>
      <c r="T435" s="14"/>
      <c r="U435" s="1"/>
      <c r="V435" s="1"/>
      <c r="W435" s="1"/>
      <c r="X435" s="1"/>
      <c r="Y435" s="1"/>
      <c r="Z435" s="1"/>
      <c r="AA435" s="1"/>
      <c r="AB435" s="1"/>
      <c r="AC435" s="1"/>
      <c r="AD435" s="1"/>
      <c r="AE435" s="13"/>
    </row>
    <row r="436" spans="1:31" ht="15.75" customHeight="1">
      <c r="B436" s="103"/>
      <c r="C436" s="387"/>
      <c r="D436" s="511"/>
      <c r="E436" s="512"/>
      <c r="F436" s="512"/>
      <c r="G436" s="512"/>
      <c r="H436" s="512"/>
      <c r="I436" s="512"/>
      <c r="J436" s="512"/>
      <c r="K436" s="512"/>
      <c r="L436" s="512"/>
      <c r="M436" s="512"/>
      <c r="N436" s="512"/>
      <c r="O436" s="513"/>
      <c r="P436" s="1"/>
      <c r="T436" s="14"/>
      <c r="U436" s="1"/>
      <c r="V436" s="1"/>
      <c r="W436" s="1"/>
      <c r="X436" s="1"/>
      <c r="Y436" s="1"/>
      <c r="Z436" s="1"/>
      <c r="AA436" s="1"/>
      <c r="AB436" s="1"/>
      <c r="AC436" s="1"/>
      <c r="AD436" s="1"/>
      <c r="AE436" s="13"/>
    </row>
    <row r="437" spans="1:31" ht="15.75" customHeight="1" thickBot="1">
      <c r="B437" s="103"/>
      <c r="C437" s="387"/>
      <c r="D437" s="514"/>
      <c r="E437" s="515"/>
      <c r="F437" s="515"/>
      <c r="G437" s="515"/>
      <c r="H437" s="515"/>
      <c r="I437" s="515"/>
      <c r="J437" s="515"/>
      <c r="K437" s="515"/>
      <c r="L437" s="515"/>
      <c r="M437" s="515"/>
      <c r="N437" s="515"/>
      <c r="O437" s="516"/>
      <c r="P437" s="1"/>
      <c r="T437" s="14"/>
      <c r="U437" s="1"/>
      <c r="V437" s="1"/>
      <c r="W437" s="1"/>
      <c r="X437" s="1"/>
      <c r="Y437" s="1"/>
      <c r="Z437" s="1"/>
      <c r="AA437" s="1"/>
      <c r="AB437" s="1"/>
      <c r="AC437" s="1"/>
      <c r="AD437" s="1"/>
      <c r="AE437" s="13"/>
    </row>
    <row r="438" spans="1:31" ht="16.5" customHeight="1">
      <c r="B438" s="103"/>
      <c r="C438" s="169"/>
      <c r="D438" s="517"/>
      <c r="E438" s="517"/>
      <c r="F438" s="517"/>
      <c r="G438" s="517"/>
      <c r="H438" s="517"/>
      <c r="I438" s="517"/>
      <c r="J438" s="517"/>
      <c r="K438" s="517"/>
      <c r="L438" s="517"/>
      <c r="M438" s="517"/>
      <c r="N438" s="517"/>
      <c r="O438" s="517"/>
      <c r="P438" s="1"/>
      <c r="T438" s="518" t="s">
        <v>4</v>
      </c>
      <c r="U438" s="519"/>
      <c r="V438" s="519"/>
      <c r="W438" s="519"/>
      <c r="X438" s="519"/>
      <c r="Y438" s="519"/>
      <c r="Z438" s="139"/>
      <c r="AA438" s="145"/>
      <c r="AB438" s="194">
        <f>IFERROR(IF('Mon Entreprise'!K8&gt;=Annexes!Q18,0,1-'Mon Entreprise'!M118/2/AB430),0)</f>
        <v>0</v>
      </c>
      <c r="AC438" s="1"/>
      <c r="AD438" s="1"/>
      <c r="AE438" s="13"/>
    </row>
    <row r="439" spans="1:31" ht="16.5" customHeight="1">
      <c r="B439" s="103"/>
      <c r="C439" s="387"/>
      <c r="D439" s="306"/>
      <c r="E439" s="306"/>
      <c r="F439" s="306"/>
      <c r="G439" s="306"/>
      <c r="H439" s="306"/>
      <c r="I439" s="306"/>
      <c r="J439" s="306"/>
      <c r="K439" s="306"/>
      <c r="L439" s="306"/>
      <c r="M439" s="306"/>
      <c r="N439" s="306"/>
      <c r="O439" s="306"/>
      <c r="P439" s="1"/>
      <c r="T439" s="110"/>
      <c r="U439" s="520" t="s">
        <v>102</v>
      </c>
      <c r="V439" s="520"/>
      <c r="W439" s="520"/>
      <c r="X439" s="520"/>
      <c r="Y439" s="520"/>
      <c r="Z439" s="139"/>
      <c r="AA439" s="145"/>
      <c r="AB439" s="194">
        <f>IFERROR(IF('Mon Entreprise'!K8&gt;Annexes!Q29,0,IF('Mon Entreprise'!K8&gt;Annexes!Q26,1,1-'Mon Entreprise'!M114/AB430)),0)</f>
        <v>0</v>
      </c>
      <c r="AC439" s="1"/>
      <c r="AD439" s="1"/>
      <c r="AE439" s="13"/>
    </row>
    <row r="440" spans="1:31" ht="16.5" customHeight="1">
      <c r="B440" s="103"/>
      <c r="C440" s="505" t="s">
        <v>465</v>
      </c>
      <c r="D440" s="505"/>
      <c r="E440" s="505"/>
      <c r="F440" s="505"/>
      <c r="G440" s="505"/>
      <c r="H440" s="505"/>
      <c r="I440" s="505"/>
      <c r="J440" s="505"/>
      <c r="K440" s="505"/>
      <c r="L440" s="505"/>
      <c r="M440" s="505"/>
      <c r="N440" s="505"/>
      <c r="O440" s="505"/>
      <c r="P440" s="1"/>
      <c r="T440" s="110"/>
      <c r="U440" s="520" t="s">
        <v>109</v>
      </c>
      <c r="V440" s="520"/>
      <c r="W440" s="520"/>
      <c r="X440" s="520"/>
      <c r="Y440" s="520"/>
      <c r="Z440" s="139"/>
      <c r="AA440" s="145"/>
      <c r="AB440" s="194">
        <f>IFERROR(IF(Annexes!O27&gt;'Mon Entreprise'!K8,1-'Mon Entreprise'!M98/'Mon Entreprise'!I98,0),0)</f>
        <v>0</v>
      </c>
      <c r="AC440" s="1"/>
      <c r="AD440" s="1"/>
      <c r="AE440" s="13"/>
    </row>
    <row r="441" spans="1:31" ht="16.5" customHeight="1">
      <c r="B441" s="103"/>
      <c r="C441" s="505"/>
      <c r="D441" s="505"/>
      <c r="E441" s="505"/>
      <c r="F441" s="505"/>
      <c r="G441" s="505"/>
      <c r="H441" s="505"/>
      <c r="I441" s="505"/>
      <c r="J441" s="505"/>
      <c r="K441" s="505"/>
      <c r="L441" s="505"/>
      <c r="M441" s="505"/>
      <c r="N441" s="505"/>
      <c r="O441" s="505"/>
      <c r="P441" s="1"/>
      <c r="T441" s="110"/>
      <c r="U441" s="382"/>
      <c r="V441" s="382"/>
      <c r="W441" s="382"/>
      <c r="X441" s="382"/>
      <c r="Y441" s="382"/>
      <c r="Z441" s="139"/>
      <c r="AA441" s="145"/>
      <c r="AB441" s="194"/>
      <c r="AC441" s="1"/>
      <c r="AD441" s="1"/>
      <c r="AE441" s="13"/>
    </row>
    <row r="442" spans="1:31" ht="16.5" customHeight="1">
      <c r="B442" s="103"/>
      <c r="C442" s="505"/>
      <c r="D442" s="505"/>
      <c r="E442" s="505"/>
      <c r="F442" s="505"/>
      <c r="G442" s="505"/>
      <c r="H442" s="505"/>
      <c r="I442" s="505"/>
      <c r="J442" s="505"/>
      <c r="K442" s="505"/>
      <c r="L442" s="505"/>
      <c r="M442" s="505"/>
      <c r="N442" s="505"/>
      <c r="O442" s="505"/>
      <c r="P442" s="1"/>
      <c r="T442" s="14"/>
      <c r="U442" s="521" t="s">
        <v>8</v>
      </c>
      <c r="V442" s="521"/>
      <c r="W442" s="521"/>
      <c r="X442" s="521"/>
      <c r="Y442" s="521"/>
      <c r="Z442" s="1"/>
      <c r="AA442" s="14"/>
      <c r="AB442" s="381" t="str">
        <f>IF((AND(Annexes!F5&gt;1,Annexes!F5&lt;=Annexes!H6)),"OUI","NON")</f>
        <v>NON</v>
      </c>
      <c r="AC442" s="1"/>
      <c r="AD442" s="1"/>
      <c r="AE442" s="13"/>
    </row>
    <row r="443" spans="1:31" ht="16.5" customHeight="1">
      <c r="B443" s="103"/>
      <c r="C443" s="505"/>
      <c r="D443" s="505"/>
      <c r="E443" s="505"/>
      <c r="F443" s="505"/>
      <c r="G443" s="505"/>
      <c r="H443" s="505"/>
      <c r="I443" s="505"/>
      <c r="J443" s="505"/>
      <c r="K443" s="505"/>
      <c r="L443" s="505"/>
      <c r="M443" s="505"/>
      <c r="N443" s="505"/>
      <c r="O443" s="505"/>
      <c r="P443" s="1"/>
      <c r="T443" s="14"/>
      <c r="U443" s="383"/>
      <c r="V443" s="383"/>
      <c r="W443" s="383"/>
      <c r="X443" s="383"/>
      <c r="Y443" s="383" t="s">
        <v>9</v>
      </c>
      <c r="Z443" s="1"/>
      <c r="AA443" s="14"/>
      <c r="AB443" s="381" t="str">
        <f>IF(AND(Annexes!F7&gt;1,Annexes!F7&lt;=Annexes!H8),"OUI","NON")</f>
        <v>NON</v>
      </c>
      <c r="AC443" s="1"/>
      <c r="AD443" s="1"/>
      <c r="AE443" s="13"/>
    </row>
    <row r="444" spans="1:31" ht="16.5" customHeight="1">
      <c r="B444" s="103"/>
      <c r="C444" s="387"/>
      <c r="D444" s="306"/>
      <c r="E444" s="417" t="str">
        <f>IF(AB448="NON","",IF(OR(AB442="OUI",AND(OR(AB444="OUI",AB443="OUI"),OR(AB438&gt;=Annexes!P5,AB439&gt;=Annexes!P5,'Mes Aides'!AB145&gt;=0.1)),AB445=TRUE,AB446=TRUE),"",IF(AND(OR(AB444="OUI",AB443="OUI"),OR(AB438&lt;Annexes!P5,AB439&lt;Annexes!P5,'Mes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444" s="417"/>
      <c r="G444" s="417"/>
      <c r="H444" s="417"/>
      <c r="I444" s="417"/>
      <c r="J444" s="417"/>
      <c r="K444" s="417"/>
      <c r="L444" s="417"/>
      <c r="M444" s="417"/>
      <c r="N444" s="417"/>
      <c r="O444" s="417"/>
      <c r="P444" s="1"/>
      <c r="T444" s="491" t="s">
        <v>455</v>
      </c>
      <c r="U444" s="490"/>
      <c r="V444" s="490"/>
      <c r="W444" s="490"/>
      <c r="X444" s="490"/>
      <c r="Y444" s="490"/>
      <c r="Z444" s="1"/>
      <c r="AA444" s="14"/>
      <c r="AB444" s="381" t="str">
        <f>IF(OR(Annexes!M17=TRUE,Annexes!M23=TRUE,Annexes!M24=TRUE),"OUI","NON")</f>
        <v>NON</v>
      </c>
      <c r="AC444" s="1"/>
      <c r="AD444" s="1"/>
      <c r="AE444" s="13"/>
    </row>
    <row r="445" spans="1:31" ht="16.5" customHeight="1">
      <c r="B445" s="103"/>
      <c r="C445" s="387"/>
      <c r="D445" s="306"/>
      <c r="E445" s="417"/>
      <c r="F445" s="417"/>
      <c r="G445" s="417"/>
      <c r="H445" s="417"/>
      <c r="I445" s="417"/>
      <c r="J445" s="417"/>
      <c r="K445" s="417"/>
      <c r="L445" s="417"/>
      <c r="M445" s="417"/>
      <c r="N445" s="417"/>
      <c r="O445" s="417"/>
      <c r="P445" s="1"/>
      <c r="T445" s="14"/>
      <c r="U445" s="490" t="s">
        <v>313</v>
      </c>
      <c r="V445" s="490"/>
      <c r="W445" s="490"/>
      <c r="X445" s="490"/>
      <c r="Y445" s="490"/>
      <c r="Z445" s="1"/>
      <c r="AA445" s="14"/>
      <c r="AB445" s="381" t="b">
        <f>IF(Annexes!M32=TRUE,TRUE,FALSE)</f>
        <v>0</v>
      </c>
      <c r="AC445" s="1"/>
      <c r="AD445" s="1"/>
      <c r="AE445" s="13"/>
    </row>
    <row r="446" spans="1:31" ht="16.5" customHeight="1">
      <c r="B446" s="168"/>
      <c r="C446" s="387"/>
      <c r="D446" s="306"/>
      <c r="E446" s="417"/>
      <c r="F446" s="417"/>
      <c r="G446" s="417"/>
      <c r="H446" s="417"/>
      <c r="I446" s="417"/>
      <c r="J446" s="417"/>
      <c r="K446" s="417"/>
      <c r="L446" s="417"/>
      <c r="M446" s="417"/>
      <c r="N446" s="417"/>
      <c r="O446" s="417"/>
      <c r="P446" s="1"/>
      <c r="T446" s="14"/>
      <c r="U446" s="490" t="s">
        <v>394</v>
      </c>
      <c r="V446" s="490"/>
      <c r="W446" s="490"/>
      <c r="X446" s="490"/>
      <c r="Y446" s="490"/>
      <c r="Z446" s="1"/>
      <c r="AA446" s="14"/>
      <c r="AB446" s="381" t="b">
        <f>IF(Annexes!M33=TRUE,TRUE,FALSE)</f>
        <v>0</v>
      </c>
      <c r="AC446" s="1"/>
      <c r="AD446" s="1"/>
      <c r="AE446" s="13"/>
    </row>
    <row r="447" spans="1:31" ht="16.5" customHeight="1">
      <c r="A447" s="99"/>
      <c r="B447" s="103"/>
      <c r="C447" s="387"/>
      <c r="D447" s="523"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47" s="523"/>
      <c r="F447" s="523"/>
      <c r="G447" s="523"/>
      <c r="H447" s="523"/>
      <c r="I447" s="523"/>
      <c r="J447" s="523"/>
      <c r="K447" s="523"/>
      <c r="L447" s="523"/>
      <c r="M447" s="523"/>
      <c r="N447" s="523"/>
      <c r="O447" s="523"/>
      <c r="P447" s="1"/>
      <c r="T447" s="14"/>
      <c r="U447" s="381"/>
      <c r="V447" s="381"/>
      <c r="W447" s="381"/>
      <c r="X447" s="381"/>
      <c r="Y447" s="381"/>
      <c r="Z447" s="1"/>
      <c r="AA447" s="14"/>
      <c r="AB447" s="381"/>
      <c r="AC447" s="1"/>
      <c r="AD447" s="1"/>
      <c r="AE447" s="13"/>
    </row>
    <row r="448" spans="1:31" ht="16.5" customHeight="1">
      <c r="A448" s="99"/>
      <c r="B448" s="103"/>
      <c r="C448" s="387"/>
      <c r="D448" s="524" t="str">
        <f>IFERROR(IF('Mon Entreprise'!K8&gt;=Annexes!O20,"",IF(AB418&lt;AB419,"A noter qu'il convient de choisir l'option retenue par l'entreprise lors de sa demande au titre du mois Février 2021, ou a défaut celui du mois de Mars, d'Avril 2021, si le CA de référence était celui de février 2019,"&amp;" il convient de prendre celui de Mai 2019 (...), soit "&amp;ROUND(AB418,0)&amp;" €"&amp;" ==&gt; "&amp;ROUND(AE418*100,0)&amp;" %","A noter qu'il convient de choisir l'option retenue par l'entreprise lors de sa demande"&amp;" au titre du mois Février 2021,  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48" s="524"/>
      <c r="F448" s="524"/>
      <c r="G448" s="524"/>
      <c r="H448" s="524"/>
      <c r="I448" s="524"/>
      <c r="J448" s="524"/>
      <c r="K448" s="524"/>
      <c r="L448" s="524"/>
      <c r="M448" s="524"/>
      <c r="N448" s="524"/>
      <c r="O448" s="524"/>
      <c r="P448" s="1"/>
      <c r="T448" s="14"/>
      <c r="U448" s="525" t="s">
        <v>72</v>
      </c>
      <c r="V448" s="525"/>
      <c r="W448" s="525"/>
      <c r="X448" s="525"/>
      <c r="Y448" s="525"/>
      <c r="Z448" s="139"/>
      <c r="AA448" s="145"/>
      <c r="AB448" s="385" t="str">
        <f>IF(AB429="Oui","Oui","Non")</f>
        <v>Oui</v>
      </c>
      <c r="AC448" s="139"/>
      <c r="AD448" s="1"/>
      <c r="AE448" s="13"/>
    </row>
    <row r="449" spans="1:31" ht="16.5" customHeight="1">
      <c r="A449" s="99"/>
      <c r="B449" s="103"/>
      <c r="C449" s="387"/>
      <c r="D449" s="524"/>
      <c r="E449" s="524"/>
      <c r="F449" s="524"/>
      <c r="G449" s="524"/>
      <c r="H449" s="524"/>
      <c r="I449" s="524"/>
      <c r="J449" s="524"/>
      <c r="K449" s="524"/>
      <c r="L449" s="524"/>
      <c r="M449" s="524"/>
      <c r="N449" s="524"/>
      <c r="O449" s="524"/>
      <c r="P449" s="1"/>
      <c r="T449" s="14"/>
      <c r="U449" s="525" t="s">
        <v>84</v>
      </c>
      <c r="V449" s="525"/>
      <c r="W449" s="525"/>
      <c r="X449" s="525"/>
      <c r="Y449" s="525"/>
      <c r="Z449" s="139"/>
      <c r="AA449" s="145"/>
      <c r="AB449" s="385">
        <f>IF('Mon Entreprise'!K8&gt;=Annexes!O20,IF(AB418&gt;=AB420,AB418,AB420),IF(AB418&gt;=AB419,AB418,AB419))</f>
        <v>0</v>
      </c>
      <c r="AC449" s="139"/>
      <c r="AD449" s="1"/>
      <c r="AE449" s="13"/>
    </row>
    <row r="450" spans="1:31" ht="16.5" customHeight="1">
      <c r="B450" s="103"/>
      <c r="C450" s="387"/>
      <c r="D450" s="215" t="str">
        <f>IF(OR(AB442="OUI",AB445=TRUE),"- Sans ticket modérateur",IF(AND(OR(AB444="OUI",AB443="OUI"),OR(AB438&gt;=0.8,AB439&gt;=0.8,AB440&gt;=0.1)),"- La Perte de référence est plafonnée à 80 %, soit "&amp;ROUND(AB453,0)&amp;" €","- Sans ticket modérateur"))</f>
        <v>- Sans ticket modérateur</v>
      </c>
      <c r="E450" s="377"/>
      <c r="F450" s="377"/>
      <c r="G450" s="377"/>
      <c r="H450" s="377"/>
      <c r="I450" s="377"/>
      <c r="J450" s="377"/>
      <c r="K450" s="377"/>
      <c r="L450" s="377"/>
      <c r="M450" s="377"/>
      <c r="N450" s="377"/>
      <c r="O450" s="377"/>
      <c r="P450" s="1"/>
      <c r="T450" s="14"/>
      <c r="U450" s="525" t="s">
        <v>85</v>
      </c>
      <c r="V450" s="525"/>
      <c r="W450" s="525"/>
      <c r="X450" s="525"/>
      <c r="Y450" s="525"/>
      <c r="Z450" s="139"/>
      <c r="AA450" s="145"/>
      <c r="AB450" s="385">
        <f>IF('Mon Entreprise'!K8&gt;=Annexes!O20,IF(AB418&gt;=AB420,AE418,AE420),IF(AB418&gt;=AB419,AE418,AE419))</f>
        <v>0</v>
      </c>
      <c r="AC450" s="139"/>
      <c r="AD450" s="1"/>
      <c r="AE450" s="13"/>
    </row>
    <row r="451" spans="1:31" ht="16.5" customHeight="1" thickBot="1">
      <c r="B451" s="103"/>
      <c r="C451" s="387"/>
      <c r="D451" s="377"/>
      <c r="E451" s="377"/>
      <c r="F451" s="377"/>
      <c r="G451" s="377"/>
      <c r="H451" s="377"/>
      <c r="I451" s="377"/>
      <c r="J451" s="377"/>
      <c r="K451" s="377"/>
      <c r="L451" s="377"/>
      <c r="M451" s="377"/>
      <c r="N451" s="377"/>
      <c r="O451" s="377"/>
      <c r="P451" s="1"/>
      <c r="T451" s="14"/>
      <c r="U451" s="502" t="s">
        <v>74</v>
      </c>
      <c r="V451" s="502"/>
      <c r="W451" s="502"/>
      <c r="X451" s="502"/>
      <c r="Y451" s="502"/>
      <c r="Z451" s="139"/>
      <c r="AA451" s="145"/>
      <c r="AB451" s="385">
        <f>IF(OR(AB442="OUI",AB445=TRUE),1,IF(AND(OR(AB444="OUI",AB443="OUI"),OR(AB438&gt;=0.8,AB439&gt;=0.8,AB440&gt;=0.1)),0.8,1))</f>
        <v>1</v>
      </c>
      <c r="AC451" s="139"/>
      <c r="AD451" s="1"/>
      <c r="AE451" s="13"/>
    </row>
    <row r="452" spans="1:31" ht="16.5" customHeight="1">
      <c r="B452" s="103"/>
      <c r="C452" s="387"/>
      <c r="D452" s="508" t="str">
        <f>IFERROR(IF(AB448="NON","Vous avez débuté votre activité après le 31 Janvier 2020, vous ne pouvez donc pas bénéficier de cette aide",IF(OR(AB445=TRUE,AND(AB446=TRUE,AB450&gt;=0.5)),IF(AB453&gt;Annexes!O6,"Dans votre cas, l'aide est Plafonnée, à "&amp;Annexes!O6&amp;" € pour le mois de Mai","Vous pouvez bénéficier, au titre de cette aide, d'un montant de "&amp;ROUND(AB453,0)&amp;" € pour le mois de Mai"),IF(AB450&gt;=0.5,IF(OR(AB442="OUI",AND(OR(AB444="OUI",AB443="OUI"),OR(AB438&gt;=Annexes!P5,AB439&gt;=Annexes!P5,AB440&gt;=0.1))),IF(AB453&gt;Annexes!O6,"Dans votre cas, l'aide est Plafonnée, à "&amp;Annexes!O6&amp;" € pour le mois de Mai","Vous pouvez bénéficier, au titre de cette aide, d'un montant de "&amp;ROUND(AB453,0)&amp;" € pour le mois de Mai"),IF(AND(OR(AB444="OUI",AB443="OUI"),OR(AB438&lt;Annexes!P5,AB439&lt;Annexes!P5)),"L'entreprise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Mai 2021"))),"Vous n'avez pas indiqué de chiffre d'affaires de référence")</f>
        <v>L'entreprise n'a pas une perte d'au moins 50 % en Mai 2021</v>
      </c>
      <c r="E452" s="509"/>
      <c r="F452" s="509"/>
      <c r="G452" s="509"/>
      <c r="H452" s="509"/>
      <c r="I452" s="509"/>
      <c r="J452" s="509"/>
      <c r="K452" s="509"/>
      <c r="L452" s="509"/>
      <c r="M452" s="509"/>
      <c r="N452" s="509"/>
      <c r="O452" s="510"/>
      <c r="P452" s="1"/>
      <c r="T452" s="14"/>
      <c r="U452" s="502" t="s">
        <v>80</v>
      </c>
      <c r="V452" s="502"/>
      <c r="W452" s="502"/>
      <c r="X452" s="502"/>
      <c r="Y452" s="502"/>
      <c r="Z452" s="139"/>
      <c r="AA452" s="145"/>
      <c r="AB452" s="385">
        <f>IF('Mon Entreprise'!K8&gt;=Annexes!O20,IF(AB418&gt;=AB420,Y418,Y420),IF(AB418&gt;=AB419,Y418,Y419))</f>
        <v>0</v>
      </c>
      <c r="AC452" s="139"/>
      <c r="AD452" s="1"/>
      <c r="AE452" s="13"/>
    </row>
    <row r="453" spans="1:31" ht="16.5" customHeight="1">
      <c r="B453" s="173"/>
      <c r="C453" s="387"/>
      <c r="D453" s="511"/>
      <c r="E453" s="512"/>
      <c r="F453" s="512"/>
      <c r="G453" s="512"/>
      <c r="H453" s="512"/>
      <c r="I453" s="512"/>
      <c r="J453" s="512"/>
      <c r="K453" s="512"/>
      <c r="L453" s="512"/>
      <c r="M453" s="512"/>
      <c r="N453" s="512"/>
      <c r="O453" s="513"/>
      <c r="P453" s="1"/>
      <c r="T453" s="14"/>
      <c r="U453" s="490" t="s">
        <v>104</v>
      </c>
      <c r="V453" s="490"/>
      <c r="W453" s="490"/>
      <c r="X453" s="490"/>
      <c r="Y453" s="490"/>
      <c r="Z453" s="1"/>
      <c r="AA453" s="14"/>
      <c r="AB453" s="381">
        <f>IF(AB451=1,AB449,IF(AB449*AB451&gt;1500,IF(AB449&gt;1500,AB449*AB451,"Impossible"),IF(AB449&lt;1500,AB449,1500)))</f>
        <v>0</v>
      </c>
      <c r="AC453" s="1"/>
      <c r="AD453" s="1"/>
      <c r="AE453" s="13"/>
    </row>
    <row r="454" spans="1:31" ht="16.5" customHeight="1">
      <c r="B454" s="103"/>
      <c r="C454" s="387"/>
      <c r="D454" s="511"/>
      <c r="E454" s="512"/>
      <c r="F454" s="512"/>
      <c r="G454" s="512"/>
      <c r="H454" s="512"/>
      <c r="I454" s="512"/>
      <c r="J454" s="512"/>
      <c r="K454" s="512"/>
      <c r="L454" s="512"/>
      <c r="M454" s="512"/>
      <c r="N454" s="512"/>
      <c r="O454" s="513"/>
      <c r="P454" s="1"/>
      <c r="T454" s="14"/>
      <c r="U454" s="381"/>
      <c r="V454" s="381"/>
      <c r="W454" s="381"/>
      <c r="X454" s="381"/>
      <c r="Y454" s="381"/>
      <c r="Z454" s="1"/>
      <c r="AA454" s="1"/>
      <c r="AB454" s="1"/>
      <c r="AC454" s="1"/>
      <c r="AD454" s="1"/>
      <c r="AE454" s="13"/>
    </row>
    <row r="455" spans="1:31" ht="16.5" customHeight="1" thickBot="1">
      <c r="B455" s="103"/>
      <c r="C455" s="387"/>
      <c r="D455" s="514"/>
      <c r="E455" s="515"/>
      <c r="F455" s="515"/>
      <c r="G455" s="515"/>
      <c r="H455" s="515"/>
      <c r="I455" s="515"/>
      <c r="J455" s="515"/>
      <c r="K455" s="515"/>
      <c r="L455" s="515"/>
      <c r="M455" s="515"/>
      <c r="N455" s="515"/>
      <c r="O455" s="516"/>
      <c r="P455" s="1"/>
      <c r="T455" s="14"/>
      <c r="U455" s="490"/>
      <c r="V455" s="490"/>
      <c r="W455" s="490"/>
      <c r="X455" s="490"/>
      <c r="Y455" s="490"/>
      <c r="Z455" s="1"/>
      <c r="AA455" s="1"/>
      <c r="AB455" s="1"/>
      <c r="AC455" s="1"/>
      <c r="AD455" s="1"/>
      <c r="AE455" s="13"/>
    </row>
    <row r="456" spans="1:31" ht="16.5" customHeight="1">
      <c r="B456" s="103"/>
      <c r="C456" s="169"/>
      <c r="D456" s="174"/>
      <c r="E456" s="174"/>
      <c r="F456" s="174"/>
      <c r="G456" s="174"/>
      <c r="H456" s="174"/>
      <c r="I456" s="174"/>
      <c r="J456" s="174"/>
      <c r="K456" s="174"/>
      <c r="L456" s="174"/>
      <c r="M456" s="174"/>
      <c r="N456" s="174"/>
      <c r="O456" s="174"/>
      <c r="P456" s="1"/>
      <c r="T456" s="14"/>
      <c r="U456" s="381"/>
      <c r="V456" s="381"/>
      <c r="W456" s="381"/>
      <c r="X456" s="381"/>
      <c r="Y456" s="381"/>
      <c r="Z456" s="1"/>
      <c r="AA456" s="1"/>
      <c r="AB456" s="1"/>
      <c r="AC456" s="1"/>
      <c r="AD456" s="1"/>
      <c r="AE456" s="13"/>
    </row>
    <row r="457" spans="1:31" ht="16.5" customHeight="1">
      <c r="B457" s="103"/>
      <c r="C457" s="387"/>
      <c r="D457" s="377"/>
      <c r="E457" s="377"/>
      <c r="F457" s="377"/>
      <c r="G457" s="377"/>
      <c r="H457" s="377"/>
      <c r="I457" s="377"/>
      <c r="J457" s="377"/>
      <c r="K457" s="377"/>
      <c r="L457" s="377"/>
      <c r="M457" s="377"/>
      <c r="N457" s="377"/>
      <c r="O457" s="377"/>
      <c r="P457" s="1"/>
      <c r="T457" s="14"/>
      <c r="U457" s="1"/>
      <c r="V457" s="1"/>
      <c r="W457" s="1"/>
      <c r="X457" s="1"/>
      <c r="Y457" s="1"/>
      <c r="Z457" s="1"/>
      <c r="AA457" s="1"/>
      <c r="AB457" s="1"/>
      <c r="AC457" s="1"/>
      <c r="AD457" s="1"/>
      <c r="AE457" s="13"/>
    </row>
    <row r="458" spans="1:31" ht="16.5" customHeight="1">
      <c r="B458" s="103"/>
      <c r="C458" s="529" t="s">
        <v>464</v>
      </c>
      <c r="D458" s="529"/>
      <c r="E458" s="529"/>
      <c r="F458" s="529"/>
      <c r="G458" s="529"/>
      <c r="H458" s="529"/>
      <c r="I458" s="529"/>
      <c r="J458" s="529"/>
      <c r="K458" s="529"/>
      <c r="L458" s="529"/>
      <c r="M458" s="529"/>
      <c r="N458" s="529"/>
      <c r="O458" s="529"/>
      <c r="P458" s="1"/>
      <c r="T458" s="14"/>
      <c r="U458" s="1"/>
      <c r="V458" s="1"/>
      <c r="W458" s="1"/>
      <c r="X458" s="1"/>
      <c r="Y458" s="1"/>
      <c r="Z458" s="1"/>
      <c r="AA458" s="1"/>
      <c r="AB458" s="1"/>
      <c r="AC458" s="1"/>
      <c r="AD458" s="1"/>
      <c r="AE458" s="13"/>
    </row>
    <row r="459" spans="1:31" ht="16.5" customHeight="1">
      <c r="B459" s="103"/>
      <c r="C459" s="529"/>
      <c r="D459" s="529"/>
      <c r="E459" s="529"/>
      <c r="F459" s="529"/>
      <c r="G459" s="529"/>
      <c r="H459" s="529"/>
      <c r="I459" s="529"/>
      <c r="J459" s="529"/>
      <c r="K459" s="529"/>
      <c r="L459" s="529"/>
      <c r="M459" s="529"/>
      <c r="N459" s="529"/>
      <c r="O459" s="529"/>
      <c r="P459" s="1"/>
      <c r="T459" s="14"/>
      <c r="U459" s="1"/>
      <c r="V459" s="1"/>
      <c r="W459" s="1"/>
      <c r="X459" s="1"/>
      <c r="Y459" s="1"/>
      <c r="Z459" s="1"/>
      <c r="AA459" s="1"/>
      <c r="AB459" s="1"/>
      <c r="AC459" s="1"/>
      <c r="AD459" s="1"/>
      <c r="AE459" s="13"/>
    </row>
    <row r="460" spans="1:31" ht="16.5" customHeight="1">
      <c r="B460" s="103"/>
      <c r="C460" s="529"/>
      <c r="D460" s="529"/>
      <c r="E460" s="529"/>
      <c r="F460" s="529"/>
      <c r="G460" s="529"/>
      <c r="H460" s="529"/>
      <c r="I460" s="529"/>
      <c r="J460" s="529"/>
      <c r="K460" s="529"/>
      <c r="L460" s="529"/>
      <c r="M460" s="529"/>
      <c r="N460" s="529"/>
      <c r="O460" s="529"/>
      <c r="P460" s="1"/>
      <c r="T460" s="14"/>
      <c r="U460" s="1"/>
      <c r="V460" s="1"/>
      <c r="W460" s="1"/>
      <c r="X460" s="1"/>
      <c r="Y460" s="1"/>
      <c r="Z460" s="1"/>
      <c r="AA460" s="1"/>
      <c r="AB460" s="1"/>
      <c r="AC460" s="1"/>
      <c r="AD460" s="1"/>
      <c r="AE460" s="13"/>
    </row>
    <row r="461" spans="1:31" ht="16.5" customHeight="1">
      <c r="B461" s="173"/>
      <c r="C461" s="529"/>
      <c r="D461" s="529"/>
      <c r="E461" s="529"/>
      <c r="F461" s="529"/>
      <c r="G461" s="529"/>
      <c r="H461" s="529"/>
      <c r="I461" s="529"/>
      <c r="J461" s="529"/>
      <c r="K461" s="529"/>
      <c r="L461" s="529"/>
      <c r="M461" s="529"/>
      <c r="N461" s="529"/>
      <c r="O461" s="529"/>
      <c r="P461" s="1"/>
      <c r="T461" s="14"/>
      <c r="U461" s="1"/>
      <c r="V461" s="1"/>
      <c r="W461" s="1"/>
      <c r="X461" s="1"/>
      <c r="Y461" s="1"/>
      <c r="Z461" s="1"/>
      <c r="AA461" s="1"/>
      <c r="AB461" s="1"/>
      <c r="AC461" s="1"/>
      <c r="AD461" s="1"/>
      <c r="AE461" s="13"/>
    </row>
    <row r="462" spans="1:31" ht="16.5" customHeight="1">
      <c r="B462" s="173"/>
      <c r="C462" s="387"/>
      <c r="D462" s="306"/>
      <c r="E462" s="523" t="str">
        <f>IF(AB448="NON","",IF(OR(AB442="OUI",AND(OR(AB444="OUI",AB443="OUI"),OR(AB438&gt;=Annexes!P5,AB439&gt;=Annexes!P5,'Mes Aides'!AB145&gt;=0.1)),AB445=TRUE,AB446=TRUE),"",IF(AND(OR(AB444="OUI",AB443="OUI"),OR(AB438&lt;Annexes!P5,AB439&lt;Annexes!P5,'Mes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462" s="523"/>
      <c r="G462" s="523"/>
      <c r="H462" s="523"/>
      <c r="I462" s="523"/>
      <c r="J462" s="523"/>
      <c r="K462" s="523"/>
      <c r="L462" s="523"/>
      <c r="M462" s="523"/>
      <c r="N462" s="523"/>
      <c r="O462" s="523"/>
      <c r="P462" s="1"/>
      <c r="T462" s="14"/>
      <c r="U462" s="502" t="s">
        <v>82</v>
      </c>
      <c r="V462" s="502"/>
      <c r="W462" s="502"/>
      <c r="X462" s="502"/>
      <c r="Y462" s="502"/>
      <c r="Z462" s="68"/>
      <c r="AA462" s="1"/>
      <c r="AB462" s="1">
        <f>IFERROR(IF(AB429="Non",0,IF(OR(AB445=TRUE,AND(AB432&lt;0.5,AB446=TRUE),(AB432&gt;=0.5)),IF(AB431&gt;Annexes!O5,Annexes!O5,ROUND(AB431,0)),0)),0)</f>
        <v>0</v>
      </c>
      <c r="AC462" s="1"/>
      <c r="AD462" s="1"/>
      <c r="AE462" s="13"/>
    </row>
    <row r="463" spans="1:31" ht="15" customHeight="1">
      <c r="B463" s="173"/>
      <c r="C463" s="387"/>
      <c r="D463" s="306"/>
      <c r="E463" s="523"/>
      <c r="F463" s="523"/>
      <c r="G463" s="523"/>
      <c r="H463" s="523"/>
      <c r="I463" s="523"/>
      <c r="J463" s="523"/>
      <c r="K463" s="523"/>
      <c r="L463" s="523"/>
      <c r="M463" s="523"/>
      <c r="N463" s="523"/>
      <c r="O463" s="523"/>
      <c r="P463" s="1"/>
      <c r="T463" s="14"/>
      <c r="U463" s="502" t="s">
        <v>81</v>
      </c>
      <c r="V463" s="502"/>
      <c r="W463" s="502"/>
      <c r="X463" s="502"/>
      <c r="Y463" s="502"/>
      <c r="Z463" s="68"/>
      <c r="AA463" s="1"/>
      <c r="AB463" s="1">
        <f>IFERROR(IF(AB448="NON",0,IF(OR(AB445=TRUE,AND(AB446=TRUE,AB450&gt;=0.5)),IF(AB453&gt;Annexes!O6,Annexes!O6,ROUND(AB453,0)),IF(AB450&gt;=0.5,IF(OR(AB442="OUI",AND(OR(AB444="OUI",AB443="OUI"),OR(AB438&gt;=Annexes!P5,AB439&gt;=Annexes!P5,AB440&gt;=0.1))),IF(AB453&gt;Annexes!O6,Annexes!O6,ROUND(AB453,0)),IF(AND(OR(AB444="OUI",AB443="OUI"),OR(AB438&lt;Annexes!P5,AB439&lt;Annexes!P5)),0,0)),0))),0)</f>
        <v>0</v>
      </c>
      <c r="AC463" s="1"/>
      <c r="AD463" s="1"/>
      <c r="AE463" s="13"/>
    </row>
    <row r="464" spans="1:31" ht="15" customHeight="1">
      <c r="B464" s="173"/>
      <c r="C464" s="387"/>
      <c r="D464" s="306"/>
      <c r="E464" s="523"/>
      <c r="F464" s="523"/>
      <c r="G464" s="523"/>
      <c r="H464" s="523"/>
      <c r="I464" s="523"/>
      <c r="J464" s="523"/>
      <c r="K464" s="523"/>
      <c r="L464" s="523"/>
      <c r="M464" s="523"/>
      <c r="N464" s="523"/>
      <c r="O464" s="523"/>
      <c r="P464" s="1"/>
      <c r="T464" s="14"/>
      <c r="U464" s="502" t="s">
        <v>399</v>
      </c>
      <c r="V464" s="502"/>
      <c r="W464" s="502"/>
      <c r="X464" s="502"/>
      <c r="Y464" s="502"/>
      <c r="Z464" s="68"/>
      <c r="AA464" s="1"/>
      <c r="AB464" s="1">
        <f>IFERROR(IF(AB448="NON",0,IF(OR(AB445=TRUE,AND(AB446=TRUE,AB450&gt;=0.5)),IF(AB452=0,0,IF(AB449&lt;AB452*0.2,ROUND(AB449,0),IF(AB452*0.2&gt;=200000,Annexes!O8,ROUND(AB452*0.2,0)))),IF(OR(AB442="OUI",AND(AB443="OUI",OR(AB438&gt;=0.8,AB439&gt;=0.8,AB440&gt;=0.1))),IF(AB450&gt;=0.7,IF(AB449&lt;AB452*0.2,ROUND(AB449,0),IF(AB452*0.2&gt;=200000,Annexes!O8,ROUND(AB452*0.2,0))),IF(AB450&gt;=0.5,IF(AB449&lt;AB452*0.15,ROUND(AB449,0),IF(AB452*0.15&gt;=200000,Annexes!O8,ROUND(AB452*0.15,0))),IF(AND(AB444="OUI",OR(AB438&gt;=0.8,AB439&gt;=0.8,AB440&gt;=0.1),AB450&gt;=0.7),IF(AB449&lt;AB452*0.2,ROUND(AB449,0),IF(AB452*0.2&gt;=200000,Annexes!O8,ROUND(AB452*0.2,0))),0))),IF(AND(AB444="OUI",OR(AB438&gt;=0.8,AB439&gt;=0.8,AB440&gt;=0.1),AB450&gt;=0.7),IF(AB449&lt;AB452*0.2,ROUND(AB449,0),IF(AB452*0.2&gt;=200000,Annexes!O8,ROUND(AB452*0.2,0))),0)))),0)</f>
        <v>0</v>
      </c>
      <c r="AC464" s="1"/>
      <c r="AD464" s="1"/>
      <c r="AE464" s="13"/>
    </row>
    <row r="465" spans="2:31" ht="16.5" customHeight="1">
      <c r="B465" s="173"/>
      <c r="C465" s="387"/>
      <c r="D465" s="417"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65" s="417"/>
      <c r="F465" s="417"/>
      <c r="G465" s="417"/>
      <c r="H465" s="417"/>
      <c r="I465" s="417"/>
      <c r="J465" s="417"/>
      <c r="K465" s="417"/>
      <c r="L465" s="417"/>
      <c r="M465" s="417"/>
      <c r="N465" s="417"/>
      <c r="O465" s="417"/>
      <c r="P465" s="377"/>
      <c r="Q465" s="377"/>
      <c r="T465" s="14"/>
      <c r="U465" s="1"/>
      <c r="V465" s="1"/>
      <c r="W465" s="1"/>
      <c r="X465" s="1"/>
      <c r="Y465" s="1"/>
      <c r="Z465" s="1"/>
      <c r="AA465" s="1"/>
      <c r="AB465" s="1"/>
      <c r="AC465" s="1"/>
      <c r="AD465" s="1"/>
      <c r="AE465" s="13"/>
    </row>
    <row r="466" spans="2:31" ht="16.5" customHeight="1">
      <c r="B466" s="173"/>
      <c r="C466" s="387"/>
      <c r="D466" s="524"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convient"&amp;" de prendre celui de Mai 2019 (...), soit "&amp;ROUND(AB418,0)&amp;" €"&amp;" ==&gt; "&amp;ROUND(AE418*100,0)&amp;" %","A noter qu'il convient de choisir l'option retenue par l'entreprise lors de sa demande au titre du mois Février 2021, "&amp;"ou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66" s="524"/>
      <c r="F466" s="524"/>
      <c r="G466" s="524"/>
      <c r="H466" s="524"/>
      <c r="I466" s="524"/>
      <c r="J466" s="524"/>
      <c r="K466" s="524"/>
      <c r="L466" s="524"/>
      <c r="M466" s="524"/>
      <c r="N466" s="524"/>
      <c r="O466" s="524"/>
      <c r="P466" s="377"/>
      <c r="Q466" s="377"/>
      <c r="T466" s="14"/>
      <c r="U466" s="1"/>
      <c r="V466" s="1"/>
      <c r="W466" s="1"/>
      <c r="X466" s="1"/>
      <c r="Y466" s="1"/>
      <c r="Z466" s="1"/>
      <c r="AA466" s="1"/>
      <c r="AB466" s="1"/>
      <c r="AC466" s="1"/>
      <c r="AD466" s="1"/>
      <c r="AE466" s="13"/>
    </row>
    <row r="467" spans="2:31" ht="16.5" customHeight="1">
      <c r="B467" s="173"/>
      <c r="C467" s="387"/>
      <c r="D467" s="524"/>
      <c r="E467" s="524"/>
      <c r="F467" s="524"/>
      <c r="G467" s="524"/>
      <c r="H467" s="524"/>
      <c r="I467" s="524"/>
      <c r="J467" s="524"/>
      <c r="K467" s="524"/>
      <c r="L467" s="524"/>
      <c r="M467" s="524"/>
      <c r="N467" s="524"/>
      <c r="O467" s="524"/>
      <c r="P467" s="377"/>
      <c r="Q467" s="377"/>
      <c r="T467" s="14"/>
      <c r="U467" s="1"/>
      <c r="V467" s="1"/>
      <c r="W467" s="1"/>
      <c r="X467" s="1"/>
      <c r="Y467" s="1"/>
      <c r="Z467" s="1"/>
      <c r="AA467" s="1"/>
      <c r="AB467" s="1"/>
      <c r="AC467" s="1"/>
      <c r="AD467" s="1"/>
      <c r="AE467" s="13"/>
    </row>
    <row r="468" spans="2:31" ht="16.5" customHeight="1">
      <c r="B468" s="103"/>
      <c r="C468" s="387"/>
      <c r="D468" s="523" t="str">
        <f>IF(OR(AB445=TRUE,AND(AB446=TRUE,AB450&gt;=0.5)),"- L'entreprise peut bénéficier d'une aide de 20 % du CA de référence, plafonnée à 200 000 €",IF(OR(AB442="OUI",AND(AB443="OUI",OR(AB438&gt;=0.8,AB439&gt;=0.8,AB440&gt;=0.1))),IF(AB450&gt;=0.7,"- L'entreprise peut bénéficier d'une aide de 20 % du CA de référence, plafonnée à 200 000 €",IF(AB450&gt;=0.5,"- L'entreprise peut bénéficier d'une aide de 15 % du CA de référence, plafonnée à 200 000 €","- L'entreprise n'a subi ni de fermeture administrative avec une perte de 20 % de CA au mois de Mai, ni de perte d'au moins 50 % de son CA")),IF(AND(AB444="OUI",OR(AB438&gt;=0.8,AB439&gt;=0.8,AB440&gt;=0.1),AB450&gt;=0.5),"- L'entreprise peut bénéficier d'une aide de 20 % du CA de référence, plafonnée à 200 000 €","- L'entreprise ne fait ni partie des fermetures administratives avec une perte de 20 % du CA au mois de Mai, ni des activités mentionnées en annexe 1 (S1) ou en annexe 2 (S1 bis) ou Annexe 3 ou dans un centre commercial ayant une perte significative")))</f>
        <v>- L'entreprise ne fait ni partie des fermetures administratives avec une perte de 20 % du CA au mois de Mai, ni des activités mentionnées en annexe 1 (S1) ou en annexe 2 (S1 bis) ou Annexe 3 ou dans un centre commercial ayant une perte significative</v>
      </c>
      <c r="E468" s="523"/>
      <c r="F468" s="523"/>
      <c r="G468" s="523"/>
      <c r="H468" s="523"/>
      <c r="I468" s="523"/>
      <c r="J468" s="523"/>
      <c r="K468" s="523"/>
      <c r="L468" s="523"/>
      <c r="M468" s="523"/>
      <c r="N468" s="523"/>
      <c r="O468" s="523"/>
      <c r="P468" s="377"/>
      <c r="Q468" s="377"/>
      <c r="T468" s="14"/>
      <c r="U468" s="1"/>
      <c r="V468" s="1"/>
      <c r="W468" s="1"/>
      <c r="X468" s="1"/>
      <c r="Y468" s="1"/>
      <c r="Z468" s="1"/>
      <c r="AA468" s="1"/>
      <c r="AB468" s="1"/>
      <c r="AC468" s="1"/>
      <c r="AD468" s="1"/>
      <c r="AE468" s="13"/>
    </row>
    <row r="469" spans="2:31" ht="16.5" customHeight="1">
      <c r="B469" s="168"/>
      <c r="C469" s="387"/>
      <c r="D469" s="523"/>
      <c r="E469" s="523"/>
      <c r="F469" s="523"/>
      <c r="G469" s="523"/>
      <c r="H469" s="523"/>
      <c r="I469" s="523"/>
      <c r="J469" s="523"/>
      <c r="K469" s="523"/>
      <c r="L469" s="523"/>
      <c r="M469" s="523"/>
      <c r="N469" s="523"/>
      <c r="O469" s="523"/>
      <c r="P469" s="377"/>
      <c r="Q469" s="377"/>
      <c r="T469" s="14"/>
      <c r="U469" s="1"/>
      <c r="V469" s="1"/>
      <c r="W469" s="1"/>
      <c r="X469" s="1"/>
      <c r="Y469" s="1"/>
      <c r="Z469" s="1"/>
      <c r="AA469" s="1"/>
      <c r="AB469" s="1"/>
      <c r="AC469" s="1"/>
      <c r="AD469" s="1"/>
      <c r="AE469" s="13"/>
    </row>
    <row r="470" spans="2:31" ht="16.5" customHeight="1" thickBot="1">
      <c r="B470" s="168"/>
      <c r="C470" s="387"/>
      <c r="D470" s="377"/>
      <c r="E470" s="377"/>
      <c r="F470" s="377"/>
      <c r="G470" s="377"/>
      <c r="H470" s="377"/>
      <c r="I470" s="377"/>
      <c r="J470" s="377"/>
      <c r="K470" s="377"/>
      <c r="L470" s="377"/>
      <c r="M470" s="377"/>
      <c r="N470" s="377"/>
      <c r="O470" s="377"/>
      <c r="P470" s="377"/>
      <c r="Q470" s="377"/>
      <c r="T470" s="14"/>
      <c r="U470" s="1"/>
      <c r="V470" s="1"/>
      <c r="W470" s="1"/>
      <c r="X470" s="1"/>
      <c r="Y470" s="1"/>
      <c r="Z470" s="1"/>
      <c r="AA470" s="1"/>
      <c r="AB470" s="1"/>
      <c r="AC470" s="1"/>
      <c r="AD470" s="1"/>
      <c r="AE470" s="13"/>
    </row>
    <row r="471" spans="2:31" ht="16.5" customHeight="1">
      <c r="B471" s="103"/>
      <c r="C471" s="318"/>
      <c r="D471" s="527" t="str">
        <f>IFERROR(IF(AB448="NON","Vous avez débuté votre activité après le 31 Janvier 2020, vous ne pouvez donc pas bénéficier de cette aide",IF(OR(AB445=TRUE,AND(AB446=TRUE,AB450&gt;=0.5)),IF(AB452=0,"Vous n'avez pas indiqué de chiffre d'affaires de référence",IF(AB449&lt;AB452*0.2,"Dans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Mai"))),IF(OR(AB442="OUI",AND(AB443="OUI",OR(AB438&gt;=0.8,AB439&gt;=0.8,AB440&gt;=0.1))),IF(AB450&gt;=0.7,IF(AB449&lt;AB452*0.2,"Dans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Mai")),IF(AB450&gt;=0.5,IF(AB449&lt;AB452*0.15,"Dans votre cas, la perte est inférieure à 15 % du CA, l'aide est donc plafonnée à la perte, soit "&amp;ROUND(AB449,0)&amp;" € pour le mois de Mai",IF(AB452*0.15&gt;=200000,"Dans votre cas, l'aide est plafonnée, à "&amp;Annexes!O8&amp;" € pour le mois de Mai","Vous pouvez bénéficier, au titre de cette aide, d'un montant de "&amp;ROUND(AB452*0.15,0)&amp;" € pour le mois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au mois de Mai, ni des activités mentionnées en annexe 1 (S1) avec 50 % de perte en Mai ou en annexe 2 (S1 bis) ou 3 ou dans un centre commercial avec 70 % de Perte en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avec 20 % de perte au mois de Mai, ni des activités mentionnées en annexe 1 (S1)"&amp;" ou en annexe 2 (S1 bis) avec 50 % de perte en Mai ou 3 ou dans un centre commercial avec 70 % de Perte en Mai")))),"Vous n'avez pas indiqué de chiffre d'affaires de référence")</f>
        <v>L'entreprise ne fait ni partie des fermetures administratives avec 20 % de perte au mois de Mai, ni des activités mentionnées en annexe 1 (S1) ou en annexe 2 (S1 bis) avec 50 % de perte en Mai ou 3 ou dans un centre commercial avec 70 % de Perte en Mai</v>
      </c>
      <c r="E471" s="509"/>
      <c r="F471" s="509"/>
      <c r="G471" s="509"/>
      <c r="H471" s="509"/>
      <c r="I471" s="509"/>
      <c r="J471" s="509"/>
      <c r="K471" s="509"/>
      <c r="L471" s="509"/>
      <c r="M471" s="509"/>
      <c r="N471" s="509"/>
      <c r="O471" s="510"/>
      <c r="P471" s="377"/>
      <c r="Q471" s="377"/>
      <c r="T471" s="14"/>
      <c r="U471" s="1"/>
      <c r="V471" s="1"/>
      <c r="W471" s="1"/>
      <c r="X471" s="1"/>
      <c r="Y471" s="1"/>
      <c r="Z471" s="1"/>
      <c r="AA471" s="1"/>
      <c r="AB471" s="1"/>
      <c r="AC471" s="1"/>
      <c r="AD471" s="1"/>
      <c r="AE471" s="13"/>
    </row>
    <row r="472" spans="2:31" ht="16.5" customHeight="1">
      <c r="B472" s="103"/>
      <c r="C472" s="318"/>
      <c r="D472" s="511"/>
      <c r="E472" s="512"/>
      <c r="F472" s="512"/>
      <c r="G472" s="512"/>
      <c r="H472" s="512"/>
      <c r="I472" s="512"/>
      <c r="J472" s="512"/>
      <c r="K472" s="512"/>
      <c r="L472" s="512"/>
      <c r="M472" s="512"/>
      <c r="N472" s="512"/>
      <c r="O472" s="513"/>
      <c r="P472" s="377"/>
      <c r="Q472" s="377"/>
      <c r="T472" s="14"/>
      <c r="U472" s="1"/>
      <c r="V472" s="1"/>
      <c r="W472" s="1"/>
      <c r="X472" s="1"/>
      <c r="Y472" s="1"/>
      <c r="Z472" s="1"/>
      <c r="AA472" s="1"/>
      <c r="AB472" s="1"/>
      <c r="AC472" s="1"/>
      <c r="AD472" s="1"/>
      <c r="AE472" s="13"/>
    </row>
    <row r="473" spans="2:31" ht="16.5" customHeight="1">
      <c r="B473" s="103"/>
      <c r="C473" s="318"/>
      <c r="D473" s="511"/>
      <c r="E473" s="512"/>
      <c r="F473" s="512"/>
      <c r="G473" s="512"/>
      <c r="H473" s="512"/>
      <c r="I473" s="512"/>
      <c r="J473" s="512"/>
      <c r="K473" s="512"/>
      <c r="L473" s="512"/>
      <c r="M473" s="512"/>
      <c r="N473" s="512"/>
      <c r="O473" s="513"/>
      <c r="P473" s="175"/>
      <c r="Q473" s="175"/>
      <c r="T473" s="14"/>
      <c r="U473" s="1"/>
      <c r="V473" s="1"/>
      <c r="W473" s="1"/>
      <c r="X473" s="1"/>
      <c r="Y473" s="1"/>
      <c r="Z473" s="1"/>
      <c r="AA473" s="1"/>
      <c r="AB473" s="1"/>
      <c r="AC473" s="1"/>
      <c r="AD473" s="1"/>
      <c r="AE473" s="13"/>
    </row>
    <row r="474" spans="2:31" ht="16.5" customHeight="1" thickBot="1">
      <c r="B474" s="103"/>
      <c r="C474" s="318"/>
      <c r="D474" s="514"/>
      <c r="E474" s="515"/>
      <c r="F474" s="515"/>
      <c r="G474" s="515"/>
      <c r="H474" s="515"/>
      <c r="I474" s="515"/>
      <c r="J474" s="515"/>
      <c r="K474" s="515"/>
      <c r="L474" s="515"/>
      <c r="M474" s="515"/>
      <c r="N474" s="515"/>
      <c r="O474" s="516"/>
      <c r="T474" s="14"/>
      <c r="U474" s="1"/>
      <c r="V474" s="1"/>
      <c r="W474" s="1"/>
      <c r="X474" s="1"/>
      <c r="Y474" s="1"/>
      <c r="Z474" s="1"/>
      <c r="AA474" s="1"/>
      <c r="AB474" s="1"/>
      <c r="AC474" s="1"/>
      <c r="AD474" s="1"/>
      <c r="AE474" s="13"/>
    </row>
    <row r="475" spans="2:31" ht="16.5" customHeight="1">
      <c r="B475" s="5"/>
      <c r="C475" s="5"/>
      <c r="D475" s="566" t="str">
        <f>IF(AND(AB446=TRUE,AB445=FALSE,AB431&gt;1500),"L'aide est plafonné à 1 500 €, Si l'entreprise a subi une perte de moins de 50 % sur la période en comprenant le CA réalisé sur les activités de vente à distance avec retrait en magasin ou livraison sont à prendre en compte pour le calcul de la perte","")</f>
        <v/>
      </c>
      <c r="E475" s="566"/>
      <c r="F475" s="566"/>
      <c r="G475" s="566"/>
      <c r="H475" s="566"/>
      <c r="I475" s="566"/>
      <c r="J475" s="566"/>
      <c r="K475" s="566"/>
      <c r="L475" s="566"/>
      <c r="M475" s="566"/>
      <c r="N475" s="566"/>
      <c r="O475" s="566"/>
      <c r="P475" s="177"/>
      <c r="Q475" s="177"/>
      <c r="T475" s="14"/>
      <c r="U475" s="1"/>
      <c r="V475" s="1"/>
      <c r="W475" s="1"/>
      <c r="X475" s="1"/>
      <c r="Y475" s="1"/>
      <c r="Z475" s="1"/>
      <c r="AA475" s="1"/>
      <c r="AB475" s="1"/>
      <c r="AC475" s="1"/>
      <c r="AD475" s="1"/>
      <c r="AE475" s="13"/>
    </row>
    <row r="476" spans="2:31">
      <c r="B476" s="5"/>
      <c r="C476" s="5"/>
      <c r="D476" s="566"/>
      <c r="E476" s="566"/>
      <c r="F476" s="566"/>
      <c r="G476" s="566"/>
      <c r="H476" s="566"/>
      <c r="I476" s="566"/>
      <c r="J476" s="566"/>
      <c r="K476" s="566"/>
      <c r="L476" s="566"/>
      <c r="M476" s="566"/>
      <c r="N476" s="566"/>
      <c r="O476" s="566"/>
      <c r="P476" s="177"/>
      <c r="Q476" s="177"/>
      <c r="T476" s="14"/>
      <c r="U476" s="1"/>
      <c r="V476" s="1"/>
      <c r="W476" s="1"/>
      <c r="X476" s="1"/>
      <c r="Y476" s="1"/>
      <c r="Z476" s="1"/>
      <c r="AA476" s="1"/>
      <c r="AB476" s="1"/>
      <c r="AC476" s="1"/>
      <c r="AD476" s="1"/>
      <c r="AE476" s="13"/>
    </row>
    <row r="477" spans="2:31">
      <c r="D477" s="177"/>
      <c r="E477" s="177"/>
      <c r="F477" s="177"/>
      <c r="G477" s="177"/>
      <c r="H477" s="177"/>
      <c r="I477" s="177"/>
      <c r="J477" s="177"/>
      <c r="K477" s="177"/>
      <c r="L477" s="177"/>
      <c r="M477" s="177"/>
      <c r="N477" s="177"/>
      <c r="O477" s="177"/>
      <c r="P477" s="175"/>
      <c r="Q477" s="175"/>
      <c r="T477" s="14"/>
      <c r="U477" s="1"/>
      <c r="V477" s="1"/>
      <c r="W477" s="1"/>
      <c r="X477" s="1"/>
      <c r="Y477" s="1"/>
      <c r="Z477" s="1"/>
      <c r="AA477" s="1"/>
      <c r="AB477" s="1"/>
      <c r="AC477" s="1"/>
      <c r="AD477" s="1"/>
      <c r="AE477" s="13"/>
    </row>
    <row r="478" spans="2:31" ht="16.5" thickBot="1">
      <c r="B478" s="220"/>
      <c r="C478" s="488" t="s">
        <v>470</v>
      </c>
      <c r="D478" s="488"/>
      <c r="E478" s="488"/>
      <c r="F478" s="488"/>
      <c r="G478" s="488"/>
      <c r="H478" s="488"/>
      <c r="I478" s="221"/>
      <c r="J478" s="221"/>
      <c r="K478" s="221"/>
      <c r="L478" s="221"/>
      <c r="M478" s="221"/>
      <c r="N478" s="221"/>
      <c r="O478" s="221"/>
      <c r="T478" s="16"/>
      <c r="U478" s="11"/>
      <c r="V478" s="11"/>
      <c r="W478" s="11"/>
      <c r="X478" s="11"/>
      <c r="Y478" s="11"/>
      <c r="Z478" s="11"/>
      <c r="AA478" s="11"/>
      <c r="AB478" s="11"/>
      <c r="AC478" s="11"/>
      <c r="AD478" s="11"/>
      <c r="AE478" s="12"/>
    </row>
    <row r="479" spans="2:31" ht="15" customHeight="1">
      <c r="B479" s="63"/>
      <c r="C479" s="24"/>
      <c r="D479" s="24"/>
      <c r="E479" s="24"/>
      <c r="F479" s="24"/>
      <c r="G479" s="24"/>
      <c r="H479" s="63"/>
      <c r="I479" s="1"/>
      <c r="J479" s="1"/>
      <c r="K479" s="1"/>
      <c r="L479" s="1"/>
      <c r="M479" s="1"/>
      <c r="N479" s="1"/>
      <c r="O479" s="1"/>
      <c r="T479" s="14"/>
      <c r="U479" s="1"/>
      <c r="V479" s="1"/>
      <c r="W479" s="1"/>
      <c r="X479" s="1"/>
      <c r="Y479" s="1"/>
      <c r="Z479" s="1"/>
      <c r="AA479" s="1"/>
      <c r="AB479" s="1"/>
      <c r="AC479" s="1"/>
      <c r="AD479" s="1"/>
      <c r="AE479" s="13"/>
    </row>
    <row r="480" spans="2:31" ht="15" customHeight="1">
      <c r="B480" s="103"/>
      <c r="C480" s="489" t="s">
        <v>476</v>
      </c>
      <c r="D480" s="489"/>
      <c r="E480" s="489"/>
      <c r="F480" s="489"/>
      <c r="G480" s="489"/>
      <c r="H480" s="489"/>
      <c r="I480" s="489"/>
      <c r="J480" s="489"/>
      <c r="K480" s="489"/>
      <c r="L480" s="489"/>
      <c r="M480" s="489"/>
      <c r="N480" s="489"/>
      <c r="O480" s="489"/>
      <c r="P480" s="1"/>
      <c r="T480" s="25"/>
      <c r="U480" s="490" t="s">
        <v>20</v>
      </c>
      <c r="V480" s="490"/>
      <c r="W480" s="490"/>
      <c r="X480" s="1"/>
      <c r="Y480" s="390" t="s">
        <v>6</v>
      </c>
      <c r="Z480" s="390"/>
      <c r="AA480" s="390"/>
      <c r="AB480" s="390" t="s">
        <v>23</v>
      </c>
      <c r="AC480" s="390"/>
      <c r="AD480" s="390"/>
      <c r="AE480" s="26" t="s">
        <v>24</v>
      </c>
    </row>
    <row r="481" spans="2:31" ht="15.75" customHeight="1">
      <c r="B481" s="103"/>
      <c r="C481" s="387"/>
      <c r="D481" s="60" t="s">
        <v>435</v>
      </c>
      <c r="E481" s="387"/>
      <c r="F481" s="387"/>
      <c r="G481" s="387"/>
      <c r="H481" s="387"/>
      <c r="I481" s="387"/>
      <c r="J481" s="387"/>
      <c r="K481" s="387"/>
      <c r="L481" s="387"/>
      <c r="M481" s="387"/>
      <c r="N481" s="387"/>
      <c r="O481" s="387"/>
      <c r="P481" s="1"/>
      <c r="T481" s="25"/>
      <c r="U481" s="390"/>
      <c r="V481" s="390"/>
      <c r="W481" s="390"/>
      <c r="X481" s="1"/>
      <c r="Y481" s="390"/>
      <c r="Z481" s="390"/>
      <c r="AA481" s="390"/>
      <c r="AB481" s="390"/>
      <c r="AC481" s="390"/>
      <c r="AD481" s="390"/>
      <c r="AE481" s="26"/>
    </row>
    <row r="482" spans="2:31" ht="16.5" hidden="1" thickBot="1">
      <c r="B482" s="103"/>
      <c r="C482" s="387"/>
      <c r="D482" s="60"/>
      <c r="E482" s="387"/>
      <c r="F482" s="387"/>
      <c r="G482" s="387"/>
      <c r="H482" s="387"/>
      <c r="I482" s="387"/>
      <c r="J482" s="387"/>
      <c r="K482" s="387"/>
      <c r="L482" s="387"/>
      <c r="M482" s="387"/>
      <c r="N482" s="387"/>
      <c r="O482" s="387"/>
      <c r="P482" s="1"/>
      <c r="T482" s="491" t="s">
        <v>475</v>
      </c>
      <c r="U482" s="490"/>
      <c r="V482" s="490"/>
      <c r="W482" s="490"/>
      <c r="X482" s="1"/>
      <c r="Y482" s="7">
        <f>'Mon Entreprise'!I132</f>
        <v>0</v>
      </c>
      <c r="Z482" s="133"/>
      <c r="AA482" s="21"/>
      <c r="AB482" s="7">
        <f>IF('Mon Entreprise'!I132-'Mon Entreprise'!M132&lt;0,0,'Mon Entreprise'!I132-'Mon Entreprise'!M132)</f>
        <v>0</v>
      </c>
      <c r="AC482" s="13"/>
      <c r="AD482" s="1"/>
      <c r="AE482" s="27">
        <f>IFERROR(1-'Mon Entreprise'!M132/'Mon Entreprise'!I132,0)</f>
        <v>0</v>
      </c>
    </row>
    <row r="483" spans="2:31" ht="15.75" hidden="1">
      <c r="B483" s="103"/>
      <c r="C483" s="387"/>
      <c r="D483" s="492" t="str">
        <f>IFERROR(IF(AND(AB524=0,AB525=0,AB526=0),"Vous ne pouvez pas bénéficier du fonds de solidarité pour le mois de Juin 2021",IF(AND(AB526&gt;AB525,AB526&gt;AB524),"Votre entreprise peut bénéficier d'une aide de "&amp;AB526&amp;" €, au titre d'une fermeture Administrative avec une perte de 20 % de CA",IF(AB525&gt;AB524,"Votre entreprise peut bénéficier d'une aide de "&amp;AB525&amp;"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"&amp;AB524&amp;" €, au titre d'une fermeture administrative d'au moins 10 jours et d'une perte d'au-moins 50 % de votre CA en Juin 2021"))),"Vous n'avez pas indiqué de chiffre d'affaires de référence")</f>
        <v>Vous ne pouvez pas bénéficier du fonds de solidarité pour le mois de Juin 2021</v>
      </c>
      <c r="E483" s="493"/>
      <c r="F483" s="493"/>
      <c r="G483" s="493"/>
      <c r="H483" s="493"/>
      <c r="I483" s="493"/>
      <c r="J483" s="493"/>
      <c r="K483" s="493"/>
      <c r="L483" s="493"/>
      <c r="M483" s="493"/>
      <c r="N483" s="493"/>
      <c r="O483" s="494"/>
      <c r="P483" s="1"/>
      <c r="T483" s="491" t="s">
        <v>25</v>
      </c>
      <c r="U483" s="490"/>
      <c r="V483" s="490"/>
      <c r="W483" s="490"/>
      <c r="X483" s="1"/>
      <c r="Y483" s="7">
        <f>'Mon Entreprise'!I98</f>
        <v>0</v>
      </c>
      <c r="Z483" s="133"/>
      <c r="AA483" s="21"/>
      <c r="AB483" s="7">
        <f>IF('Mon Entreprise'!I98-'Mon Entreprise'!M132&lt;0,0,'Mon Entreprise'!I98-'Mon Entreprise'!M132)</f>
        <v>0</v>
      </c>
      <c r="AC483" s="36"/>
      <c r="AD483" s="1"/>
      <c r="AE483" s="27">
        <f>IFERROR(1-'Mon Entreprise'!M132/'Mon Entreprise'!I98,0)</f>
        <v>0</v>
      </c>
    </row>
    <row r="484" spans="2:31" ht="15.75" hidden="1" customHeight="1">
      <c r="B484" s="103"/>
      <c r="C484" s="387"/>
      <c r="D484" s="495"/>
      <c r="E484" s="496"/>
      <c r="F484" s="496"/>
      <c r="G484" s="496"/>
      <c r="H484" s="496"/>
      <c r="I484" s="496"/>
      <c r="J484" s="496"/>
      <c r="K484" s="496"/>
      <c r="L484" s="496"/>
      <c r="M484" s="496"/>
      <c r="N484" s="496"/>
      <c r="O484" s="497"/>
      <c r="P484" s="1"/>
      <c r="T484" s="501" t="s">
        <v>22</v>
      </c>
      <c r="U484" s="502"/>
      <c r="V484" s="502"/>
      <c r="W484" s="502"/>
      <c r="X484" s="139"/>
      <c r="Y484" s="140" t="str">
        <f>IF('Mon Entreprise'!I148="","NC",'Mon Entreprise'!I148)</f>
        <v>NC</v>
      </c>
      <c r="Z484" s="191"/>
      <c r="AA484" s="192"/>
      <c r="AB484" s="143" t="str">
        <f>IFERROR(IF('Mon Entreprise'!I148-'Mon Entreprise'!M132&lt;0,0,'Mon Entreprise'!I148-'Mon Entreprise'!M132),"NC")</f>
        <v>NC</v>
      </c>
      <c r="AC484" s="193"/>
      <c r="AD484" s="139"/>
      <c r="AE484" s="146" t="str">
        <f>IFERROR(1-'Mon Entreprise'!M132/'Mon Entreprise'!I148,"NC")</f>
        <v>NC</v>
      </c>
    </row>
    <row r="485" spans="2:31" ht="15.75" hidden="1" customHeight="1">
      <c r="B485" s="103"/>
      <c r="C485" s="387"/>
      <c r="D485" s="495"/>
      <c r="E485" s="496"/>
      <c r="F485" s="496"/>
      <c r="G485" s="496"/>
      <c r="H485" s="496"/>
      <c r="I485" s="496"/>
      <c r="J485" s="496"/>
      <c r="K485" s="496"/>
      <c r="L485" s="496"/>
      <c r="M485" s="496"/>
      <c r="N485" s="496"/>
      <c r="O485" s="497"/>
      <c r="P485" s="1"/>
      <c r="T485" s="388"/>
      <c r="U485" s="385"/>
      <c r="V485" s="385"/>
      <c r="W485" s="385"/>
      <c r="X485" s="139"/>
      <c r="Y485" s="140"/>
      <c r="Z485" s="141"/>
      <c r="AA485" s="192"/>
      <c r="AB485" s="143"/>
      <c r="AC485" s="385"/>
      <c r="AD485" s="139"/>
      <c r="AE485" s="146"/>
    </row>
    <row r="486" spans="2:31" ht="15.75" hidden="1" customHeight="1">
      <c r="B486" s="103"/>
      <c r="C486" s="387"/>
      <c r="D486" s="495"/>
      <c r="E486" s="496"/>
      <c r="F486" s="496"/>
      <c r="G486" s="496"/>
      <c r="H486" s="496"/>
      <c r="I486" s="496"/>
      <c r="J486" s="496"/>
      <c r="K486" s="496"/>
      <c r="L486" s="496"/>
      <c r="M486" s="496"/>
      <c r="N486" s="496"/>
      <c r="O486" s="497"/>
      <c r="P486" s="1"/>
      <c r="T486" s="14"/>
      <c r="U486" s="1"/>
      <c r="V486" s="1"/>
      <c r="W486" s="1"/>
      <c r="X486" s="1"/>
      <c r="Y486" s="1"/>
      <c r="Z486" s="1"/>
      <c r="AA486" s="1"/>
      <c r="AB486" s="1"/>
      <c r="AC486" s="1"/>
      <c r="AD486" s="1"/>
      <c r="AE486" s="13"/>
    </row>
    <row r="487" spans="2:31" ht="15.75" hidden="1" customHeight="1">
      <c r="B487" s="103"/>
      <c r="C487" s="387"/>
      <c r="D487" s="495"/>
      <c r="E487" s="496"/>
      <c r="F487" s="496"/>
      <c r="G487" s="496"/>
      <c r="H487" s="496"/>
      <c r="I487" s="496"/>
      <c r="J487" s="496"/>
      <c r="K487" s="496"/>
      <c r="L487" s="496"/>
      <c r="M487" s="496"/>
      <c r="N487" s="496"/>
      <c r="O487" s="497"/>
      <c r="P487" s="1"/>
      <c r="T487" s="14"/>
      <c r="AC487" s="1"/>
      <c r="AD487" s="1"/>
      <c r="AE487" s="13"/>
    </row>
    <row r="488" spans="2:31" ht="15.75" hidden="1" customHeight="1" thickBot="1">
      <c r="B488" s="103"/>
      <c r="C488" s="387"/>
      <c r="D488" s="498"/>
      <c r="E488" s="499"/>
      <c r="F488" s="499"/>
      <c r="G488" s="499"/>
      <c r="H488" s="499"/>
      <c r="I488" s="499"/>
      <c r="J488" s="499"/>
      <c r="K488" s="499"/>
      <c r="L488" s="499"/>
      <c r="M488" s="499"/>
      <c r="N488" s="499"/>
      <c r="O488" s="500"/>
      <c r="P488" s="1"/>
      <c r="T488" s="14"/>
      <c r="AC488" s="1"/>
      <c r="AD488" s="1"/>
      <c r="AE488" s="13"/>
    </row>
    <row r="489" spans="2:31" ht="16.5" hidden="1" customHeight="1">
      <c r="B489" s="103"/>
      <c r="C489" s="387"/>
      <c r="D489" s="503" t="s">
        <v>494</v>
      </c>
      <c r="E489" s="503"/>
      <c r="F489" s="503"/>
      <c r="G489" s="503"/>
      <c r="H489" s="503"/>
      <c r="I489" s="503"/>
      <c r="J489" s="503"/>
      <c r="K489" s="503"/>
      <c r="L489" s="503"/>
      <c r="M489" s="503"/>
      <c r="N489" s="503"/>
      <c r="O489" s="503"/>
      <c r="P489" s="1"/>
      <c r="T489" s="14"/>
      <c r="AC489" s="1"/>
      <c r="AD489" s="1"/>
      <c r="AE489" s="13"/>
    </row>
    <row r="490" spans="2:31" ht="16.5" hidden="1" customHeight="1">
      <c r="B490" s="103"/>
      <c r="C490" s="387"/>
      <c r="D490" s="504"/>
      <c r="E490" s="504"/>
      <c r="F490" s="504"/>
      <c r="G490" s="504"/>
      <c r="H490" s="504"/>
      <c r="I490" s="504"/>
      <c r="J490" s="504"/>
      <c r="K490" s="504"/>
      <c r="L490" s="504"/>
      <c r="M490" s="504"/>
      <c r="N490" s="504"/>
      <c r="O490" s="504"/>
      <c r="P490" s="1"/>
      <c r="T490" s="14"/>
      <c r="AC490" s="1"/>
      <c r="AD490" s="1"/>
      <c r="AE490" s="13"/>
    </row>
    <row r="491" spans="2:31" ht="15.75">
      <c r="B491" s="103"/>
      <c r="C491" s="78"/>
      <c r="D491" s="78"/>
      <c r="E491" s="78"/>
      <c r="F491" s="78"/>
      <c r="G491" s="78"/>
      <c r="H491" s="78"/>
      <c r="I491" s="78"/>
      <c r="J491" s="78"/>
      <c r="K491" s="78"/>
      <c r="L491" s="78"/>
      <c r="M491" s="78"/>
      <c r="N491" s="78"/>
      <c r="O491" s="78"/>
      <c r="P491" s="1"/>
      <c r="T491" s="14"/>
      <c r="U491" s="1"/>
      <c r="V491" s="1"/>
      <c r="W491" s="1"/>
      <c r="X491" s="1"/>
      <c r="Y491" s="1"/>
      <c r="Z491" s="1"/>
      <c r="AA491" s="1"/>
      <c r="AB491" s="1"/>
      <c r="AC491" s="1"/>
      <c r="AD491" s="1"/>
      <c r="AE491" s="13"/>
    </row>
    <row r="492" spans="2:31" ht="15.75">
      <c r="B492" s="103"/>
      <c r="C492" s="387"/>
      <c r="D492" s="60"/>
      <c r="E492" s="387"/>
      <c r="F492" s="387"/>
      <c r="G492" s="387"/>
      <c r="H492" s="387"/>
      <c r="I492" s="387"/>
      <c r="J492" s="387"/>
      <c r="K492" s="387"/>
      <c r="L492" s="387"/>
      <c r="M492" s="387"/>
      <c r="N492" s="387"/>
      <c r="O492" s="387"/>
      <c r="P492" s="1"/>
      <c r="T492" s="14"/>
      <c r="U492" s="1"/>
      <c r="V492" s="1"/>
      <c r="W492" s="1"/>
      <c r="X492" s="1"/>
      <c r="Y492" s="1"/>
      <c r="Z492" s="1"/>
      <c r="AA492" s="1"/>
      <c r="AB492" s="1"/>
      <c r="AC492" s="1"/>
      <c r="AD492" s="1"/>
      <c r="AE492" s="13"/>
    </row>
    <row r="493" spans="2:31" ht="15.75">
      <c r="B493" s="103"/>
      <c r="C493" s="505" t="s">
        <v>485</v>
      </c>
      <c r="D493" s="505"/>
      <c r="E493" s="505"/>
      <c r="F493" s="505"/>
      <c r="G493" s="505"/>
      <c r="H493" s="505"/>
      <c r="I493" s="505"/>
      <c r="J493" s="505"/>
      <c r="K493" s="505"/>
      <c r="L493" s="505"/>
      <c r="M493" s="505"/>
      <c r="N493" s="505"/>
      <c r="O493" s="505"/>
      <c r="P493" s="1"/>
      <c r="T493" s="14"/>
      <c r="U493" s="1"/>
      <c r="V493" s="1"/>
      <c r="W493" s="1"/>
      <c r="X493" s="1"/>
      <c r="Y493" s="1"/>
      <c r="Z493" s="1"/>
      <c r="AA493" s="1"/>
      <c r="AB493" s="1"/>
      <c r="AC493" s="1"/>
      <c r="AD493" s="1"/>
      <c r="AE493" s="13"/>
    </row>
    <row r="494" spans="2:31" ht="15.75">
      <c r="B494" s="103"/>
      <c r="C494" s="505"/>
      <c r="D494" s="505"/>
      <c r="E494" s="505"/>
      <c r="F494" s="505"/>
      <c r="G494" s="505"/>
      <c r="H494" s="505"/>
      <c r="I494" s="505"/>
      <c r="J494" s="505"/>
      <c r="K494" s="505"/>
      <c r="L494" s="505"/>
      <c r="M494" s="505"/>
      <c r="N494" s="505"/>
      <c r="O494" s="505"/>
      <c r="P494" s="1"/>
      <c r="T494" s="14"/>
      <c r="U494" s="506" t="s">
        <v>72</v>
      </c>
      <c r="V494" s="506"/>
      <c r="W494" s="506"/>
      <c r="X494" s="506"/>
      <c r="Y494" s="506"/>
      <c r="Z494" s="1"/>
      <c r="AA494" s="14"/>
      <c r="AB494" s="385" t="str">
        <f>IF('Mon Entreprise'!K8&lt;=Annexes!R15,"Oui","Non")</f>
        <v>Oui</v>
      </c>
      <c r="AC494" s="1"/>
      <c r="AD494" s="1"/>
      <c r="AE494" s="13"/>
    </row>
    <row r="495" spans="2:31" ht="15.75">
      <c r="B495" s="168"/>
      <c r="C495" s="387"/>
      <c r="D495" s="60" t="str">
        <f>IFERROR(IF('Mon Entreprise'!K8&gt;=Annexes!O20,IF(AB482&gt;=AB484,"Le CA de référence est celui de Juin 2019, soit une perte de "&amp;ROUND(AB482,0)&amp;" €"&amp;" ==&gt; "&amp;ROUND(AE482*100,0)&amp;" %","Le CA de référence est celui de la création, soit une perte de "&amp;ROUND(AB484,0)&amp;" €"&amp;" ==&gt; "&amp;ROUND(AE484*100,0)&amp;" %"),IF(AB482&gt;=AB483,"Le CA de référence est celui de Juin 2019, soit une perte de "&amp;ROUND(AB482,0)&amp;" €"&amp;" ==&gt; "&amp;ROUND(AE482*100,0)&amp;" %","Le CA de référence est celui de l'exercice 2019, soit une perte de "&amp;ROUND(AB483,0)&amp;" €"&amp;" ==&gt; "&amp;ROUND(AE483*100,0)&amp;" %")),"")</f>
        <v>Le CA de référence est celui de Juin 2019, soit une perte de 0 € ==&gt; 0 %</v>
      </c>
      <c r="E495" s="387"/>
      <c r="F495" s="387"/>
      <c r="G495" s="387"/>
      <c r="H495" s="387"/>
      <c r="I495" s="387"/>
      <c r="J495" s="387"/>
      <c r="K495" s="387"/>
      <c r="L495" s="387"/>
      <c r="M495" s="387"/>
      <c r="N495" s="387"/>
      <c r="O495" s="387"/>
      <c r="P495" s="1"/>
      <c r="T495" s="14"/>
      <c r="U495" s="386"/>
      <c r="V495" s="506" t="s">
        <v>393</v>
      </c>
      <c r="W495" s="506"/>
      <c r="X495" s="506"/>
      <c r="Y495" s="506"/>
      <c r="Z495" s="1"/>
      <c r="AA495" s="14"/>
      <c r="AB495" s="385">
        <f>IF('Mon Entreprise'!K8&gt;=Annexes!O20,IF(Y482&gt;=Y484,Y482,Y484),IF(Y482&gt;=Y483,Y482,Y483))</f>
        <v>0</v>
      </c>
      <c r="AC495" s="1"/>
      <c r="AD495" s="1"/>
      <c r="AE495" s="13"/>
    </row>
    <row r="496" spans="2:31" ht="15.75">
      <c r="B496" s="168"/>
      <c r="C496" s="387"/>
      <c r="D496" s="507" t="str">
        <f>IFERROR(IF('Mon Entreprise'!K8&gt;=Annexes!O20,"",IF(AB482&lt;AB483,"A noter qu'il convient de choisir l'option retenue par l'entreprise lors de sa demande au titre du mois Février 2021, ou a défaut celui du mois de Mars, d'Avril, ou Mai 2021, si le CA de référence était celui de février 2019, il convient de prendre"&amp;" celui de Juin 2019 (...), soit "&amp;ROUND(AB482,0)&amp;" €"&amp;" ==&gt; "&amp;ROUND(AE482*100,0)&amp;" %","A noter qu'il convient de choisir l'option retenue par l'entreprise lors de sa demande au titre du mois Février 2021, ou "&amp;"a défaut celui du mois de Mars, d'Avril,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2021, ou a défaut celui du mois de Mars, d'Avril, ou Mai 2021, si le CA de référence était celui de l'exercice 2019, il convient de prendre celui de l'exercie 2019, soit une perte de 0 € ==&gt; 0 %</v>
      </c>
      <c r="E496" s="507"/>
      <c r="F496" s="507"/>
      <c r="G496" s="507"/>
      <c r="H496" s="507"/>
      <c r="I496" s="507"/>
      <c r="J496" s="507"/>
      <c r="K496" s="507"/>
      <c r="L496" s="507"/>
      <c r="M496" s="507"/>
      <c r="N496" s="507"/>
      <c r="O496" s="507"/>
      <c r="P496" s="1"/>
      <c r="T496" s="14"/>
      <c r="U496" s="506" t="s">
        <v>84</v>
      </c>
      <c r="V496" s="506"/>
      <c r="W496" s="506"/>
      <c r="X496" s="506"/>
      <c r="Y496" s="506"/>
      <c r="Z496" s="1"/>
      <c r="AA496" s="14"/>
      <c r="AB496" s="381">
        <f>IF('Mon Entreprise'!K8&gt;=Annexes!O20,IF(AB482&gt;=AB484,AB482,AB484),IF(AB482&gt;=AB483,AB482,AB483))</f>
        <v>0</v>
      </c>
      <c r="AC496" s="1"/>
      <c r="AD496" s="1"/>
      <c r="AE496" s="13"/>
    </row>
    <row r="497" spans="1:31" ht="15.75">
      <c r="B497" s="168"/>
      <c r="C497" s="387"/>
      <c r="D497" s="507"/>
      <c r="E497" s="507"/>
      <c r="F497" s="507"/>
      <c r="G497" s="507"/>
      <c r="H497" s="507"/>
      <c r="I497" s="507"/>
      <c r="J497" s="507"/>
      <c r="K497" s="507"/>
      <c r="L497" s="507"/>
      <c r="M497" s="507"/>
      <c r="N497" s="507"/>
      <c r="O497" s="507"/>
      <c r="P497" s="1"/>
      <c r="T497" s="14"/>
      <c r="U497" s="506" t="s">
        <v>85</v>
      </c>
      <c r="V497" s="506"/>
      <c r="W497" s="506"/>
      <c r="X497" s="506"/>
      <c r="Y497" s="506"/>
      <c r="Z497" s="1"/>
      <c r="AA497" s="14"/>
      <c r="AB497" s="19">
        <f>IF('Mon Entreprise'!K8&gt;=Annexes!O20,IF(AB482&gt;=AB484,AE482,AE484),IF(AB482&gt;=AB483,AE482,AE483))</f>
        <v>0</v>
      </c>
      <c r="AC497" s="1"/>
      <c r="AD497" s="1"/>
      <c r="AE497" s="13"/>
    </row>
    <row r="498" spans="1:31" ht="16.5" thickBot="1">
      <c r="B498" s="103"/>
      <c r="C498" s="387"/>
      <c r="D498" s="60"/>
      <c r="E498" s="387"/>
      <c r="F498" s="387"/>
      <c r="G498" s="387"/>
      <c r="H498" s="387"/>
      <c r="I498" s="387"/>
      <c r="J498" s="387"/>
      <c r="K498" s="387"/>
      <c r="L498" s="387"/>
      <c r="M498" s="387"/>
      <c r="N498" s="387"/>
      <c r="O498" s="387"/>
      <c r="P498" s="1"/>
      <c r="T498" s="14"/>
      <c r="U498" s="1"/>
      <c r="V498" s="1"/>
      <c r="W498" s="1"/>
      <c r="X498" s="1"/>
      <c r="Y498" s="1"/>
      <c r="Z498" s="1"/>
      <c r="AA498" s="1"/>
      <c r="AB498" s="1"/>
      <c r="AC498" s="1"/>
      <c r="AD498" s="1"/>
      <c r="AE498" s="13"/>
    </row>
    <row r="499" spans="1:31" ht="15.75">
      <c r="B499" s="168"/>
      <c r="C499" s="387"/>
      <c r="D499" s="508" t="str">
        <f>IFERROR(IF(AB494="Non","Vous avez débuté votre activité après le 31 Janvier 2020, vous ne pouvez donc pas bénéficier de cette aide",IF(AND(AB512=TRUE,AB497&gt;=0.5),IF(AB496&gt;Annexes!O5,"Dans votre cas, l'aide est Plafonnée, à "&amp;Annexes!O5&amp;" € pour le mois de Juin","Vous pouvez bénéficier, au titre de cette aide, d'un montant de "&amp;ROUND(AB496,0)&amp;" € pour le mois de Juin"),"L'entreprise n'a pas une perte d'au moins 50 % en Juin 2021 ou n'a pas été en fermeture Administrative au moins 10 Jours")),"Vous n'avez pas indiqué de chiffre d'affaires de référence")</f>
        <v>L'entreprise n'a pas une perte d'au moins 50 % en Juin 2021 ou n'a pas été en fermeture Administrative au moins 10 Jours</v>
      </c>
      <c r="E499" s="509"/>
      <c r="F499" s="509"/>
      <c r="G499" s="509"/>
      <c r="H499" s="509"/>
      <c r="I499" s="509"/>
      <c r="J499" s="509"/>
      <c r="K499" s="509"/>
      <c r="L499" s="509"/>
      <c r="M499" s="509"/>
      <c r="N499" s="509"/>
      <c r="O499" s="510"/>
      <c r="P499" s="1"/>
      <c r="T499" s="14"/>
      <c r="U499" s="1"/>
      <c r="V499" s="1"/>
      <c r="W499" s="1"/>
      <c r="X499" s="1"/>
      <c r="Y499" s="1"/>
      <c r="Z499" s="1"/>
      <c r="AA499" s="1"/>
      <c r="AB499" s="1"/>
      <c r="AC499" s="1"/>
      <c r="AD499" s="1"/>
      <c r="AE499" s="13"/>
    </row>
    <row r="500" spans="1:31" ht="15.75" customHeight="1">
      <c r="B500" s="168"/>
      <c r="C500" s="387"/>
      <c r="D500" s="511"/>
      <c r="E500" s="512"/>
      <c r="F500" s="512"/>
      <c r="G500" s="512"/>
      <c r="H500" s="512"/>
      <c r="I500" s="512"/>
      <c r="J500" s="512"/>
      <c r="K500" s="512"/>
      <c r="L500" s="512"/>
      <c r="M500" s="512"/>
      <c r="N500" s="512"/>
      <c r="O500" s="513"/>
      <c r="P500" s="1"/>
      <c r="T500" s="14"/>
      <c r="U500" s="1"/>
      <c r="V500" s="1"/>
      <c r="W500" s="1"/>
      <c r="X500" s="1"/>
      <c r="Y500" s="1"/>
      <c r="Z500" s="1"/>
      <c r="AA500" s="1"/>
      <c r="AB500" s="1"/>
      <c r="AC500" s="1"/>
      <c r="AD500" s="1"/>
      <c r="AE500" s="13"/>
    </row>
    <row r="501" spans="1:31" ht="15.75" customHeight="1">
      <c r="B501" s="103"/>
      <c r="C501" s="387"/>
      <c r="D501" s="511"/>
      <c r="E501" s="512"/>
      <c r="F501" s="512"/>
      <c r="G501" s="512"/>
      <c r="H501" s="512"/>
      <c r="I501" s="512"/>
      <c r="J501" s="512"/>
      <c r="K501" s="512"/>
      <c r="L501" s="512"/>
      <c r="M501" s="512"/>
      <c r="N501" s="512"/>
      <c r="O501" s="513"/>
      <c r="P501" s="1"/>
      <c r="T501" s="14"/>
      <c r="U501" s="1"/>
      <c r="V501" s="1"/>
      <c r="W501" s="1"/>
      <c r="X501" s="1"/>
      <c r="Y501" s="1"/>
      <c r="Z501" s="1"/>
      <c r="AA501" s="1"/>
      <c r="AB501" s="1"/>
      <c r="AC501" s="1"/>
      <c r="AD501" s="1"/>
      <c r="AE501" s="13"/>
    </row>
    <row r="502" spans="1:31" ht="15.75" customHeight="1" thickBot="1">
      <c r="B502" s="103"/>
      <c r="C502" s="387"/>
      <c r="D502" s="514"/>
      <c r="E502" s="515"/>
      <c r="F502" s="515"/>
      <c r="G502" s="515"/>
      <c r="H502" s="515"/>
      <c r="I502" s="515"/>
      <c r="J502" s="515"/>
      <c r="K502" s="515"/>
      <c r="L502" s="515"/>
      <c r="M502" s="515"/>
      <c r="N502" s="515"/>
      <c r="O502" s="516"/>
      <c r="P502" s="1"/>
      <c r="T502" s="14"/>
      <c r="U502" s="1"/>
      <c r="V502" s="1"/>
      <c r="W502" s="1"/>
      <c r="X502" s="1"/>
      <c r="Y502" s="1"/>
      <c r="Z502" s="1"/>
      <c r="AA502" s="1"/>
      <c r="AB502" s="1"/>
      <c r="AC502" s="1"/>
      <c r="AD502" s="1"/>
      <c r="AE502" s="13"/>
    </row>
    <row r="503" spans="1:31" ht="16.5" customHeight="1">
      <c r="B503" s="103"/>
      <c r="C503" s="169"/>
      <c r="D503" s="517"/>
      <c r="E503" s="517"/>
      <c r="F503" s="517"/>
      <c r="G503" s="517"/>
      <c r="H503" s="517"/>
      <c r="I503" s="517"/>
      <c r="J503" s="517"/>
      <c r="K503" s="517"/>
      <c r="L503" s="517"/>
      <c r="M503" s="517"/>
      <c r="N503" s="517"/>
      <c r="O503" s="517"/>
      <c r="P503" s="1"/>
      <c r="T503" s="518" t="s">
        <v>4</v>
      </c>
      <c r="U503" s="519"/>
      <c r="V503" s="519"/>
      <c r="W503" s="519"/>
      <c r="X503" s="519"/>
      <c r="Y503" s="519"/>
      <c r="Z503" s="139"/>
      <c r="AA503" s="145"/>
      <c r="AB503" s="194">
        <f>IFERROR(IF('Mon Entreprise'!K8&gt;=Annexes!Q18,0,1-'Mon Entreprise'!M118/2/AB495),0)</f>
        <v>0</v>
      </c>
      <c r="AC503" s="1"/>
      <c r="AD503" s="1"/>
      <c r="AE503" s="13"/>
    </row>
    <row r="504" spans="1:31" ht="16.5" customHeight="1">
      <c r="B504" s="103"/>
      <c r="C504" s="387"/>
      <c r="D504" s="306"/>
      <c r="E504" s="306"/>
      <c r="F504" s="306"/>
      <c r="G504" s="306"/>
      <c r="H504" s="306"/>
      <c r="I504" s="306"/>
      <c r="J504" s="306"/>
      <c r="K504" s="306"/>
      <c r="L504" s="306"/>
      <c r="M504" s="306"/>
      <c r="N504" s="306"/>
      <c r="O504" s="306"/>
      <c r="P504" s="1"/>
      <c r="T504" s="110"/>
      <c r="U504" s="520" t="s">
        <v>102</v>
      </c>
      <c r="V504" s="520"/>
      <c r="W504" s="520"/>
      <c r="X504" s="520"/>
      <c r="Y504" s="520"/>
      <c r="Z504" s="139"/>
      <c r="AA504" s="145"/>
      <c r="AB504" s="194">
        <f>IFERROR(IF('Mon Entreprise'!K8&gt;Annexes!Q29,0,IF('Mon Entreprise'!K8&gt;Annexes!Q26,1,1-'Mon Entreprise'!M114/AB495)),0)</f>
        <v>0</v>
      </c>
      <c r="AC504" s="1"/>
      <c r="AD504" s="1"/>
      <c r="AE504" s="13"/>
    </row>
    <row r="505" spans="1:31" ht="16.5" customHeight="1">
      <c r="B505" s="103"/>
      <c r="C505" s="505" t="s">
        <v>515</v>
      </c>
      <c r="D505" s="505"/>
      <c r="E505" s="505"/>
      <c r="F505" s="505"/>
      <c r="G505" s="505"/>
      <c r="H505" s="505"/>
      <c r="I505" s="505"/>
      <c r="J505" s="505"/>
      <c r="K505" s="505"/>
      <c r="L505" s="505"/>
      <c r="M505" s="505"/>
      <c r="N505" s="505"/>
      <c r="O505" s="505"/>
      <c r="P505" s="1"/>
      <c r="T505" s="110"/>
      <c r="U505" s="520" t="s">
        <v>109</v>
      </c>
      <c r="V505" s="520"/>
      <c r="W505" s="520"/>
      <c r="X505" s="520"/>
      <c r="Y505" s="520"/>
      <c r="Z505" s="139"/>
      <c r="AA505" s="145"/>
      <c r="AB505" s="194">
        <f>IFERROR(IF(Annexes!O27&gt;'Mon Entreprise'!K8,1-'Mon Entreprise'!M98/'Mon Entreprise'!I98,0),0)</f>
        <v>0</v>
      </c>
      <c r="AC505" s="1"/>
      <c r="AD505" s="1"/>
      <c r="AE505" s="13"/>
    </row>
    <row r="506" spans="1:31" ht="16.5" customHeight="1">
      <c r="B506" s="103"/>
      <c r="C506" s="505"/>
      <c r="D506" s="505"/>
      <c r="E506" s="505"/>
      <c r="F506" s="505"/>
      <c r="G506" s="505"/>
      <c r="H506" s="505"/>
      <c r="I506" s="505"/>
      <c r="J506" s="505"/>
      <c r="K506" s="505"/>
      <c r="L506" s="505"/>
      <c r="M506" s="505"/>
      <c r="N506" s="505"/>
      <c r="O506" s="505"/>
      <c r="P506" s="1"/>
      <c r="T506" s="110"/>
      <c r="U506" s="382"/>
      <c r="V506" s="382"/>
      <c r="W506" s="382"/>
      <c r="X506" s="382"/>
      <c r="Y506" s="382"/>
      <c r="Z506" s="139"/>
      <c r="AA506" s="145"/>
      <c r="AB506" s="194"/>
      <c r="AC506" s="1"/>
      <c r="AD506" s="1"/>
      <c r="AE506" s="13"/>
    </row>
    <row r="507" spans="1:31" ht="16.5" customHeight="1">
      <c r="B507" s="103"/>
      <c r="C507" s="505"/>
      <c r="D507" s="505"/>
      <c r="E507" s="505"/>
      <c r="F507" s="505"/>
      <c r="G507" s="505"/>
      <c r="H507" s="505"/>
      <c r="I507" s="505"/>
      <c r="J507" s="505"/>
      <c r="K507" s="505"/>
      <c r="L507" s="505"/>
      <c r="M507" s="505"/>
      <c r="N507" s="505"/>
      <c r="O507" s="505"/>
      <c r="P507" s="1"/>
      <c r="T507" s="110"/>
      <c r="U507" s="382"/>
      <c r="V507" s="382"/>
      <c r="W507" s="382"/>
      <c r="X507" s="382"/>
      <c r="Y507" s="382"/>
      <c r="Z507" s="139"/>
      <c r="AA507" s="145"/>
      <c r="AB507" s="194"/>
      <c r="AC507" s="1"/>
      <c r="AD507" s="1"/>
      <c r="AE507" s="13"/>
    </row>
    <row r="508" spans="1:31" ht="16.5" customHeight="1">
      <c r="B508" s="103"/>
      <c r="C508" s="505"/>
      <c r="D508" s="505"/>
      <c r="E508" s="505"/>
      <c r="F508" s="505"/>
      <c r="G508" s="505"/>
      <c r="H508" s="505"/>
      <c r="I508" s="505"/>
      <c r="J508" s="505"/>
      <c r="K508" s="505"/>
      <c r="L508" s="505"/>
      <c r="M508" s="505"/>
      <c r="N508" s="505"/>
      <c r="O508" s="505"/>
      <c r="P508" s="1"/>
      <c r="T508" s="14"/>
      <c r="U508" s="521" t="s">
        <v>8</v>
      </c>
      <c r="V508" s="521"/>
      <c r="W508" s="521"/>
      <c r="X508" s="521"/>
      <c r="Y508" s="521"/>
      <c r="Z508" s="1"/>
      <c r="AA508" s="14"/>
      <c r="AB508" s="381" t="str">
        <f>IF((AND(Annexes!F5&gt;1,Annexes!F5&lt;=Annexes!H6,AB515&gt;=0.1)),"OUI","NON")</f>
        <v>NON</v>
      </c>
      <c r="AC508" s="1"/>
      <c r="AD508" s="1"/>
      <c r="AE508" s="13"/>
    </row>
    <row r="509" spans="1:31" ht="26.25" customHeight="1">
      <c r="B509" s="103"/>
      <c r="C509" s="352"/>
      <c r="D509" s="564" t="s">
        <v>513</v>
      </c>
      <c r="E509" s="564"/>
      <c r="F509" s="564"/>
      <c r="G509" s="564"/>
      <c r="H509" s="564"/>
      <c r="I509" s="564"/>
      <c r="J509" s="564"/>
      <c r="K509" s="564"/>
      <c r="L509" s="564"/>
      <c r="M509" s="564"/>
      <c r="N509" s="564"/>
      <c r="O509" s="564"/>
      <c r="P509" s="1"/>
      <c r="T509" s="14"/>
      <c r="U509" s="383"/>
      <c r="V509" s="383"/>
      <c r="W509" s="383"/>
      <c r="X509" s="383"/>
      <c r="Y509" s="383" t="s">
        <v>9</v>
      </c>
      <c r="Z509" s="1"/>
      <c r="AA509" s="14"/>
      <c r="AB509" s="381" t="str">
        <f>IF(AND(Annexes!F7&gt;1,Annexes!F7&lt;=Annexes!H8,AB515&gt;=0.1),"OUI","NON")</f>
        <v>NON</v>
      </c>
      <c r="AC509" s="1"/>
      <c r="AD509" s="1"/>
      <c r="AE509" s="13"/>
    </row>
    <row r="510" spans="1:31" ht="16.5" customHeight="1">
      <c r="B510" s="103"/>
      <c r="C510" s="387"/>
      <c r="D510" s="306"/>
      <c r="E510" s="522" t="str">
        <f>IF(AB513="NON","",IF(OR(AB508="OUI",AB510="OUI",AND(AB509="OUI",OR(AB503&gt;=Annexes!P5,AB504&gt;=Annexes!P5,'Mes Aides'!AB145&gt;=0.1))),"",IF(AND(AB509="OUI",OR(AB503&lt;Annexes!P5,AB504&lt;Annexes!P5,'Mes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510" s="522"/>
      <c r="G510" s="522"/>
      <c r="H510" s="522"/>
      <c r="I510" s="522"/>
      <c r="J510" s="522"/>
      <c r="K510" s="522"/>
      <c r="L510" s="522"/>
      <c r="M510" s="522"/>
      <c r="N510" s="522"/>
      <c r="O510" s="522"/>
      <c r="P510" s="1"/>
      <c r="T510" s="491" t="s">
        <v>474</v>
      </c>
      <c r="U510" s="490"/>
      <c r="V510" s="490"/>
      <c r="W510" s="490"/>
      <c r="X510" s="490"/>
      <c r="Y510" s="490"/>
      <c r="Z510" s="1"/>
      <c r="AA510" s="14"/>
      <c r="AB510" s="381" t="str">
        <f>IF(AND(Annexes!M24=TRUE,AB515&gt;=0.1),"OUI","NON")</f>
        <v>NON</v>
      </c>
      <c r="AC510" s="1"/>
      <c r="AD510" s="1"/>
      <c r="AE510" s="13"/>
    </row>
    <row r="511" spans="1:31" ht="16.5" customHeight="1">
      <c r="B511" s="103"/>
      <c r="C511" s="387"/>
      <c r="D511" s="306"/>
      <c r="E511" s="522"/>
      <c r="F511" s="522"/>
      <c r="G511" s="522"/>
      <c r="H511" s="522"/>
      <c r="I511" s="522"/>
      <c r="J511" s="522"/>
      <c r="K511" s="522"/>
      <c r="L511" s="522"/>
      <c r="M511" s="522"/>
      <c r="N511" s="522"/>
      <c r="O511" s="522"/>
      <c r="P511" s="1"/>
      <c r="T511" s="14"/>
      <c r="U511" s="490" t="s">
        <v>490</v>
      </c>
      <c r="V511" s="490"/>
      <c r="W511" s="490"/>
      <c r="X511" s="490"/>
      <c r="Y511" s="490"/>
      <c r="Z511" s="1"/>
      <c r="AA511" s="14"/>
      <c r="AB511" s="381" t="b">
        <f>IF(AND(Annexes!M35=TRUE,,AB515&gt;=0.2),TRUE,FALSE)</f>
        <v>0</v>
      </c>
      <c r="AC511" s="1"/>
      <c r="AD511" s="1"/>
      <c r="AE511" s="13"/>
    </row>
    <row r="512" spans="1:31" ht="16.5" customHeight="1">
      <c r="A512" s="99"/>
      <c r="B512" s="103"/>
      <c r="C512" s="387"/>
      <c r="D512" s="523" t="str">
        <f>IFERROR(IF('Mon Entreprise'!K8&gt;=Annexes!O20,IF(AB482&gt;=AB484,"- Le CA de référence est celui de Juin 2019, soit une perte de "&amp;ROUND(AB482,0)&amp;" €"&amp;" ==&gt; "&amp;ROUND(AE482*100,0)&amp;" %","- Le CA de référence est celui de la création, soit une perte de "&amp;ROUND(AB484,0)&amp;" €"&amp;" ==&gt; "&amp;ROUND(AE484*100,0)&amp;" %"),IF(AB482&gt;=AB483,"- Le CA de référence est celui de Juin 2019, soit une perte de "&amp;ROUND(AB482,0)&amp;" €"&amp;" ==&gt; "&amp;ROUND(AE482*100,0)&amp;" %","- Le CA de référence est celui de l'exercice 2019, soit une perte de "&amp;ROUND(AB483,0)&amp;" €"&amp;" ==&gt; "&amp;ROUND(AE483*100,0)&amp;" %")),"")</f>
        <v>- Le CA de référence est celui de Juin 2019, soit une perte de 0 € ==&gt; 0 %</v>
      </c>
      <c r="E512" s="523"/>
      <c r="F512" s="523"/>
      <c r="G512" s="523"/>
      <c r="H512" s="523"/>
      <c r="I512" s="523"/>
      <c r="J512" s="523"/>
      <c r="K512" s="523"/>
      <c r="L512" s="523"/>
      <c r="M512" s="523"/>
      <c r="N512" s="523"/>
      <c r="O512" s="523"/>
      <c r="P512" s="1"/>
      <c r="T512" s="14"/>
      <c r="U512" s="381"/>
      <c r="V512" s="381"/>
      <c r="W512" s="381"/>
      <c r="X512" s="381"/>
      <c r="Y512" s="381" t="s">
        <v>491</v>
      </c>
      <c r="Z512" s="1"/>
      <c r="AA512" s="14"/>
      <c r="AB512" s="381" t="b">
        <f>IF(AND(Annexes!M36=TRUE,AB515&gt;=0.5),TRUE,FALSE)</f>
        <v>0</v>
      </c>
      <c r="AC512" s="1"/>
      <c r="AD512" s="1"/>
      <c r="AE512" s="13"/>
    </row>
    <row r="513" spans="1:31" ht="16.5" customHeight="1">
      <c r="A513" s="99"/>
      <c r="B513" s="103"/>
      <c r="C513" s="387"/>
      <c r="D513" s="524" t="str">
        <f>IFERROR(IF('Mon Entreprise'!K8&gt;=Annexes!O20,"",IF(AB482&lt;AB483,"A noter qu'il convient de choisir l'option retenue par l'entreprise lors de sa demande au titre du mois Février ou a défaut celui du mois de Mars, d'Avril, ou Mai 2021, si le CA de référence était celui de février (...) 2019,"&amp;" il convient de prendre celui de Juin 2019 (...), soit "&amp;ROUND(AB482,0)&amp;" €"&amp;" ==&gt; "&amp;ROUND(AE482*100,0)&amp;" %","A noter qu'il convient de choisir l'option retenue par l'entreprise lors de sa demande"&amp;" au titre du mois Février  ou a défaut celui du mois de Mars, d'Avril,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ou a défaut celui du mois de Mars, d'Avril, ou Mai 2021, si le CA de référence était celui de l'exercice 2019, il convient de prendre celui de l'exercie 2019, soit une perte de 0 € ==&gt; 0 %</v>
      </c>
      <c r="E513" s="524"/>
      <c r="F513" s="524"/>
      <c r="G513" s="524"/>
      <c r="H513" s="524"/>
      <c r="I513" s="524"/>
      <c r="J513" s="524"/>
      <c r="K513" s="524"/>
      <c r="L513" s="524"/>
      <c r="M513" s="524"/>
      <c r="N513" s="524"/>
      <c r="O513" s="524"/>
      <c r="P513" s="1"/>
      <c r="T513" s="14"/>
      <c r="U513" s="525" t="s">
        <v>72</v>
      </c>
      <c r="V513" s="525"/>
      <c r="W513" s="525"/>
      <c r="X513" s="525"/>
      <c r="Y513" s="525"/>
      <c r="Z513" s="139"/>
      <c r="AA513" s="145"/>
      <c r="AB513" s="385" t="str">
        <f>IF(AB494="Oui","Oui","Non")</f>
        <v>Oui</v>
      </c>
      <c r="AC513" s="139"/>
      <c r="AD513" s="1"/>
      <c r="AE513" s="13"/>
    </row>
    <row r="514" spans="1:31" ht="16.5" customHeight="1">
      <c r="A514" s="99"/>
      <c r="B514" s="103"/>
      <c r="C514" s="387"/>
      <c r="D514" s="524"/>
      <c r="E514" s="524"/>
      <c r="F514" s="524"/>
      <c r="G514" s="524"/>
      <c r="H514" s="524"/>
      <c r="I514" s="524"/>
      <c r="J514" s="524"/>
      <c r="K514" s="524"/>
      <c r="L514" s="524"/>
      <c r="M514" s="524"/>
      <c r="N514" s="524"/>
      <c r="O514" s="524"/>
      <c r="P514" s="1"/>
      <c r="T514" s="14"/>
      <c r="U514" s="525" t="s">
        <v>84</v>
      </c>
      <c r="V514" s="525"/>
      <c r="W514" s="525"/>
      <c r="X514" s="525"/>
      <c r="Y514" s="525"/>
      <c r="Z514" s="139"/>
      <c r="AA514" s="145"/>
      <c r="AB514" s="385">
        <f>IF('Mon Entreprise'!K8&gt;=Annexes!O20,IF(AB482&gt;=AB484,AB482,AB484),IF(AB482&gt;=AB483,AB482,AB483))</f>
        <v>0</v>
      </c>
      <c r="AC514" s="139"/>
      <c r="AD514" s="1"/>
      <c r="AE514" s="13"/>
    </row>
    <row r="515" spans="1:31" ht="16.5" customHeight="1">
      <c r="B515" s="103"/>
      <c r="C515" s="387"/>
      <c r="D515" s="215"/>
      <c r="E515" s="377"/>
      <c r="F515" s="377"/>
      <c r="G515" s="377"/>
      <c r="H515" s="377"/>
      <c r="I515" s="377"/>
      <c r="J515" s="377"/>
      <c r="K515" s="377"/>
      <c r="L515" s="377"/>
      <c r="M515" s="377"/>
      <c r="N515" s="377"/>
      <c r="O515" s="377"/>
      <c r="P515" s="1"/>
      <c r="T515" s="14"/>
      <c r="U515" s="525" t="s">
        <v>85</v>
      </c>
      <c r="V515" s="525"/>
      <c r="W515" s="525"/>
      <c r="X515" s="525"/>
      <c r="Y515" s="525"/>
      <c r="Z515" s="139"/>
      <c r="AA515" s="145"/>
      <c r="AB515" s="385">
        <f>IF('Mon Entreprise'!K8&gt;=Annexes!O20,IF(AB482&gt;=AB484,AE482,AE484),IF(AB482&gt;=AB483,AE482,AE483))</f>
        <v>0</v>
      </c>
      <c r="AC515" s="139"/>
      <c r="AD515" s="1"/>
      <c r="AE515" s="13"/>
    </row>
    <row r="516" spans="1:31" ht="16.5" customHeight="1" thickBot="1">
      <c r="B516" s="103"/>
      <c r="C516" s="387"/>
      <c r="D516" s="377"/>
      <c r="E516" s="377"/>
      <c r="F516" s="377"/>
      <c r="G516" s="377"/>
      <c r="H516" s="377"/>
      <c r="I516" s="377"/>
      <c r="J516" s="377"/>
      <c r="K516" s="377"/>
      <c r="L516" s="377"/>
      <c r="M516" s="377"/>
      <c r="N516" s="377"/>
      <c r="O516" s="377"/>
      <c r="P516" s="1"/>
      <c r="T516" s="14"/>
      <c r="U516" s="502" t="s">
        <v>74</v>
      </c>
      <c r="V516" s="502"/>
      <c r="W516" s="502"/>
      <c r="X516" s="502"/>
      <c r="Y516" s="502"/>
      <c r="Z516" s="139"/>
      <c r="AA516" s="145"/>
      <c r="AB516" s="385">
        <v>1</v>
      </c>
      <c r="AC516" s="139"/>
      <c r="AD516" s="1"/>
      <c r="AE516" s="13"/>
    </row>
    <row r="517" spans="1:31" ht="16.5" customHeight="1">
      <c r="B517" s="103"/>
      <c r="C517" s="387"/>
      <c r="D517" s="527" t="str">
        <f>IFERROR(IF(AB513="NON","Vous avez débuté votre activité après le 31 Janvier 2020, vous ne pouvez donc pas bénéficier de cette aide",IF(OR(AB508="OUI",AB510="OUI",AND(AB509="OUI",OR(AB503&lt;Annexes!P5,AB504&lt;Annexes!P5,'Mes Aides'!AB198&lt;0.1))),IF(AND(0.4*AB518&gt;Annexes!O8,0.2*AB517&gt;Annexes!O8),"Dans votre cas, l'aide est plafonnée, à "&amp;Annexes!O8&amp;" € pour le mois de Juin",IF(0.4*AB518&gt;=0.2*AB517,"Dans votre cas, 40 % de la perte est supérieur à 20 % du CA, l'aide est donc plafonnée à 20 % du CA, soit "&amp;ROUND(0.2*AB517,0)&amp;" € pour le mois de Juin","Dans votre cas, 40% de la perte est inférieure à 20 % du CA, l'aide est donc plafonnée à 40 % de la perte, soit "&amp;ROUND(0.4*AB518,0)&amp;" € pour le mois de Juin")),"Vous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517" s="509"/>
      <c r="F517" s="509"/>
      <c r="G517" s="509"/>
      <c r="H517" s="509"/>
      <c r="I517" s="509"/>
      <c r="J517" s="509"/>
      <c r="K517" s="509"/>
      <c r="L517" s="509"/>
      <c r="M517" s="509"/>
      <c r="N517" s="509"/>
      <c r="O517" s="510"/>
      <c r="P517" s="1"/>
      <c r="T517" s="14"/>
      <c r="U517" s="502" t="s">
        <v>80</v>
      </c>
      <c r="V517" s="502"/>
      <c r="W517" s="502"/>
      <c r="X517" s="502"/>
      <c r="Y517" s="502"/>
      <c r="Z517" s="139"/>
      <c r="AA517" s="145"/>
      <c r="AB517" s="385">
        <f>IF('Mon Entreprise'!K8&gt;=Annexes!O20,IF(AB482&gt;=AB484,Y482,Y484),IF(AB482&gt;=AB483,Y482,Y483))</f>
        <v>0</v>
      </c>
      <c r="AC517" s="139"/>
      <c r="AD517" s="1"/>
      <c r="AE517" s="13"/>
    </row>
    <row r="518" spans="1:31" ht="16.5" customHeight="1">
      <c r="B518" s="173"/>
      <c r="C518" s="387"/>
      <c r="D518" s="511"/>
      <c r="E518" s="512"/>
      <c r="F518" s="512"/>
      <c r="G518" s="512"/>
      <c r="H518" s="512"/>
      <c r="I518" s="512"/>
      <c r="J518" s="512"/>
      <c r="K518" s="512"/>
      <c r="L518" s="512"/>
      <c r="M518" s="512"/>
      <c r="N518" s="512"/>
      <c r="O518" s="513"/>
      <c r="P518" s="1"/>
      <c r="T518" s="14"/>
      <c r="U518" s="490" t="s">
        <v>104</v>
      </c>
      <c r="V518" s="490"/>
      <c r="W518" s="490"/>
      <c r="X518" s="490"/>
      <c r="Y518" s="490"/>
      <c r="Z518" s="1"/>
      <c r="AA518" s="14"/>
      <c r="AB518" s="381">
        <f>IF(AB516=1,AB514,IF(AB514*AB516&gt;1500,IF(AB514&gt;1500,AB514*AB516,"Impossible"),IF(AB514&lt;1500,AB514,1500)))</f>
        <v>0</v>
      </c>
      <c r="AC518" s="1"/>
      <c r="AD518" s="1"/>
      <c r="AE518" s="13"/>
    </row>
    <row r="519" spans="1:31" ht="16.5" customHeight="1">
      <c r="B519" s="103"/>
      <c r="C519" s="387"/>
      <c r="D519" s="511"/>
      <c r="E519" s="512"/>
      <c r="F519" s="512"/>
      <c r="G519" s="512"/>
      <c r="H519" s="512"/>
      <c r="I519" s="512"/>
      <c r="J519" s="512"/>
      <c r="K519" s="512"/>
      <c r="L519" s="512"/>
      <c r="M519" s="512"/>
      <c r="N519" s="512"/>
      <c r="O519" s="513"/>
      <c r="P519" s="1"/>
      <c r="T519" s="14"/>
      <c r="U519" s="381"/>
      <c r="V519" s="381"/>
      <c r="W519" s="381"/>
      <c r="X519" s="381"/>
      <c r="Y519" s="381"/>
      <c r="Z519" s="1"/>
      <c r="AA519" s="1"/>
      <c r="AB519" s="1"/>
      <c r="AC519" s="1"/>
      <c r="AD519" s="1"/>
      <c r="AE519" s="13"/>
    </row>
    <row r="520" spans="1:31" ht="16.5" customHeight="1" thickBot="1">
      <c r="B520" s="103"/>
      <c r="C520" s="387"/>
      <c r="D520" s="514"/>
      <c r="E520" s="515"/>
      <c r="F520" s="515"/>
      <c r="G520" s="515"/>
      <c r="H520" s="515"/>
      <c r="I520" s="515"/>
      <c r="J520" s="515"/>
      <c r="K520" s="515"/>
      <c r="L520" s="515"/>
      <c r="M520" s="515"/>
      <c r="N520" s="515"/>
      <c r="O520" s="516"/>
      <c r="P520" s="1"/>
      <c r="T520" s="14"/>
      <c r="U520" s="490"/>
      <c r="V520" s="490"/>
      <c r="W520" s="490"/>
      <c r="X520" s="490"/>
      <c r="Y520" s="490"/>
      <c r="Z520" s="1"/>
      <c r="AA520" s="1"/>
      <c r="AB520" s="1"/>
      <c r="AC520" s="1"/>
      <c r="AD520" s="1"/>
      <c r="AE520" s="13"/>
    </row>
    <row r="521" spans="1:31" ht="16.5" customHeight="1">
      <c r="B521" s="103"/>
      <c r="C521" s="169"/>
      <c r="D521" s="174"/>
      <c r="E521" s="174"/>
      <c r="F521" s="174"/>
      <c r="G521" s="174"/>
      <c r="H521" s="174"/>
      <c r="I521" s="174"/>
      <c r="J521" s="174"/>
      <c r="K521" s="174"/>
      <c r="L521" s="174"/>
      <c r="M521" s="174"/>
      <c r="N521" s="174"/>
      <c r="O521" s="174"/>
      <c r="P521" s="1"/>
      <c r="T521" s="14"/>
      <c r="U521" s="381"/>
      <c r="V521" s="381"/>
      <c r="W521" s="381"/>
      <c r="X521" s="381"/>
      <c r="Y521" s="381"/>
      <c r="Z521" s="1"/>
      <c r="AA521" s="1"/>
      <c r="AB521" s="1"/>
      <c r="AC521" s="1"/>
      <c r="AD521" s="1"/>
      <c r="AE521" s="13"/>
    </row>
    <row r="522" spans="1:31" ht="16.5" customHeight="1">
      <c r="B522" s="103"/>
      <c r="C522" s="387"/>
      <c r="D522" s="377"/>
      <c r="E522" s="377"/>
      <c r="F522" s="377"/>
      <c r="G522" s="377"/>
      <c r="H522" s="377"/>
      <c r="I522" s="377"/>
      <c r="J522" s="377"/>
      <c r="K522" s="377"/>
      <c r="L522" s="377"/>
      <c r="M522" s="377"/>
      <c r="N522" s="377"/>
      <c r="O522" s="377"/>
      <c r="P522" s="1"/>
      <c r="T522" s="14"/>
      <c r="U522" s="1"/>
      <c r="V522" s="1"/>
      <c r="W522" s="1"/>
      <c r="X522" s="1"/>
      <c r="Y522" s="1"/>
      <c r="Z522" s="1"/>
      <c r="AA522" s="1"/>
      <c r="AB522" s="1"/>
      <c r="AC522" s="1"/>
      <c r="AD522" s="1"/>
      <c r="AE522" s="13"/>
    </row>
    <row r="523" spans="1:31" ht="16.5" customHeight="1">
      <c r="B523" s="103"/>
      <c r="C523" s="529" t="s">
        <v>479</v>
      </c>
      <c r="D523" s="529"/>
      <c r="E523" s="529"/>
      <c r="F523" s="529"/>
      <c r="G523" s="529"/>
      <c r="H523" s="529"/>
      <c r="I523" s="529"/>
      <c r="J523" s="529"/>
      <c r="K523" s="529"/>
      <c r="L523" s="529"/>
      <c r="M523" s="529"/>
      <c r="N523" s="529"/>
      <c r="O523" s="529"/>
      <c r="P523" s="1"/>
      <c r="T523" s="14"/>
      <c r="U523" s="1"/>
      <c r="V523" s="1"/>
      <c r="W523" s="1"/>
      <c r="X523" s="1"/>
      <c r="Y523" s="1"/>
      <c r="Z523" s="1"/>
      <c r="AA523" s="1"/>
      <c r="AB523" s="1"/>
      <c r="AC523" s="1"/>
      <c r="AD523" s="1"/>
      <c r="AE523" s="13"/>
    </row>
    <row r="524" spans="1:31" ht="16.5" customHeight="1">
      <c r="B524" s="173"/>
      <c r="C524" s="387"/>
      <c r="D524" s="306"/>
      <c r="E524" s="528" t="str">
        <f>IF(AB513="NON","",IF(AB511=TRUE,"","L'entreprise n'a pas été en fermeture administrative sur le mois avec une perte de 20 % de CA"))</f>
        <v>L'entreprise n'a pas été en fermeture administrative sur le mois avec une perte de 20 % de CA</v>
      </c>
      <c r="F524" s="528"/>
      <c r="G524" s="528"/>
      <c r="H524" s="528"/>
      <c r="I524" s="528"/>
      <c r="J524" s="528"/>
      <c r="K524" s="528"/>
      <c r="L524" s="528"/>
      <c r="M524" s="528"/>
      <c r="N524" s="528"/>
      <c r="O524" s="528"/>
      <c r="P524" s="1"/>
      <c r="T524" s="14"/>
      <c r="U524" s="502" t="s">
        <v>82</v>
      </c>
      <c r="V524" s="502"/>
      <c r="W524" s="502"/>
      <c r="X524" s="502"/>
      <c r="Y524" s="502"/>
      <c r="Z524" s="68"/>
      <c r="AA524" s="1"/>
      <c r="AB524" s="1">
        <f>IFERROR(IF(AB494="Non",0,IF(AND(AB512=TRUE,AB497&gt;=0.5),IF(AB496&gt;Annexes!O5,Annexes!O5,ROUND(AB496,0)),0)),0)</f>
        <v>0</v>
      </c>
      <c r="AC524" s="1"/>
      <c r="AD524" s="1"/>
      <c r="AE524" s="13"/>
    </row>
    <row r="525" spans="1:31" ht="15" customHeight="1">
      <c r="B525" s="173"/>
      <c r="C525" s="387"/>
      <c r="D525" s="306"/>
      <c r="E525" s="528"/>
      <c r="F525" s="528"/>
      <c r="G525" s="528"/>
      <c r="H525" s="528"/>
      <c r="I525" s="528"/>
      <c r="J525" s="528"/>
      <c r="K525" s="528"/>
      <c r="L525" s="528"/>
      <c r="M525" s="528"/>
      <c r="N525" s="528"/>
      <c r="O525" s="528"/>
      <c r="P525" s="1"/>
      <c r="T525" s="14"/>
      <c r="U525" s="502" t="s">
        <v>477</v>
      </c>
      <c r="V525" s="502"/>
      <c r="W525" s="502"/>
      <c r="X525" s="502"/>
      <c r="Y525" s="502"/>
      <c r="Z525" s="68"/>
      <c r="AA525" s="1"/>
      <c r="AB525" s="1">
        <f>IFERROR(IF(AB513="NON",0,IF(OR(AB508="OUI",AB510="OUI",AND(AB509="OUI",OR(AB503&lt;Annexes!P5,AB504&lt;Annexes!P5,'Mes Aides'!AB198&lt;0.1))),IF(AND(0.4*AB518,0.2*AB517)&lt;Annexes!O8,Annexes!O8,IF(0.4*AB518&gt;=0.2*AB517,ROUND(0.2*AB517,0),ROUND(0.4*AB518,0))),0)),0)</f>
        <v>0</v>
      </c>
      <c r="AC525" s="1"/>
      <c r="AD525" s="1"/>
      <c r="AE525" s="13"/>
    </row>
    <row r="526" spans="1:31" ht="15" customHeight="1">
      <c r="B526" s="173"/>
      <c r="C526" s="387"/>
      <c r="D526" s="306"/>
      <c r="E526" s="353"/>
      <c r="F526" s="353"/>
      <c r="G526" s="353"/>
      <c r="H526" s="353"/>
      <c r="I526" s="353"/>
      <c r="J526" s="353"/>
      <c r="K526" s="353"/>
      <c r="L526" s="353"/>
      <c r="M526" s="353"/>
      <c r="N526" s="353"/>
      <c r="O526" s="353"/>
      <c r="P526" s="1"/>
      <c r="T526" s="14"/>
      <c r="U526" s="502" t="s">
        <v>478</v>
      </c>
      <c r="V526" s="502"/>
      <c r="W526" s="502"/>
      <c r="X526" s="502"/>
      <c r="Y526" s="502"/>
      <c r="Z526" s="68"/>
      <c r="AA526" s="1"/>
      <c r="AB526" s="1">
        <f>IFERROR(IF(AB513="NON",0,IF(AB511=TRUE,IF(AB517*0.2&gt;Annexes!O8,Annexes!O8,ROUND(AB517*0.2,0)),0)),0)</f>
        <v>0</v>
      </c>
      <c r="AC526" s="1"/>
      <c r="AD526" s="1"/>
      <c r="AE526" s="13"/>
    </row>
    <row r="527" spans="1:31" ht="16.5" customHeight="1">
      <c r="B527" s="173"/>
      <c r="C527" s="387"/>
      <c r="D527" s="417" t="str">
        <f>IFERROR(IF('Mon Entreprise'!K8&gt;=Annexes!O20,IF(AB482&gt;=AB484,"- Le CA de référence est celui de Juin 2019, soit une perte de "&amp;ROUND(AB482,0)&amp;" €"&amp;" ==&gt; "&amp;ROUND(AE482*100,0)&amp;" %","- Le CA de référence est celui de la création, soit une perte de "&amp;ROUND(AB484,0)&amp;" €"&amp;" ==&gt; "&amp;ROUND(AE484*100,0)&amp;" %"),IF(AB482&gt;=AB483,"- Le CA de référence est celui de Juin 2019, soit une perte de "&amp;ROUND(AB482,0)&amp;" €"&amp;" ==&gt; "&amp;ROUND(AE482*100,0)&amp;" %","- Le CA de référence est celui de l'exercice 2019, soit une perte de "&amp;ROUND(AB483,0)&amp;" €"&amp;" ==&gt; "&amp;ROUND(AE483*100,0)&amp;" %")),"")</f>
        <v>- Le CA de référence est celui de Juin 2019, soit une perte de 0 € ==&gt; 0 %</v>
      </c>
      <c r="E527" s="417"/>
      <c r="F527" s="417"/>
      <c r="G527" s="417"/>
      <c r="H527" s="417"/>
      <c r="I527" s="417"/>
      <c r="J527" s="417"/>
      <c r="K527" s="417"/>
      <c r="L527" s="417"/>
      <c r="M527" s="417"/>
      <c r="N527" s="417"/>
      <c r="O527" s="417"/>
      <c r="P527" s="377"/>
      <c r="Q527" s="377"/>
      <c r="T527" s="14"/>
      <c r="U527" s="1"/>
      <c r="V527" s="1"/>
      <c r="W527" s="1"/>
      <c r="X527" s="1"/>
      <c r="Y527" s="1"/>
      <c r="Z527" s="1"/>
      <c r="AA527" s="1"/>
      <c r="AB527" s="1"/>
      <c r="AC527" s="1"/>
      <c r="AD527" s="1"/>
      <c r="AE527" s="13"/>
    </row>
    <row r="528" spans="1:31" ht="16.5" customHeight="1">
      <c r="B528" s="173"/>
      <c r="C528" s="387"/>
      <c r="D528" s="524" t="str">
        <f>IFERROR(IF('Mon Entreprise'!K8&gt;=Annexes!O20,"",IF(AB482&lt;AB483,"A noter qu'il convient de choisir l'option retenue par l'entreprise lors de sa demande au titre du mois Février ou a défaut celui du mois de Mars, Avril, ou Mai 2021, si le CA de référence était celui de février (...) 2019, il convient"&amp;" de prendre celui de Juin 2019 (...), soit "&amp;ROUND(AB482,0)&amp;" €"&amp;" ==&gt; "&amp;ROUND(AE482*100,0)&amp;" %","A noter qu'il convient de choisir l'option retenue par l'entreprise lors de sa demande au titre du mois Février "&amp;"ou a défaut celui du mois de Mars, Avril, ou Mai 2021, si le CA de référence était celui de l'exercice 2019, il convient de prendre celui de l'exercie 2019, soit une perte de "&amp;ROUND(AB483,0)&amp;" €"&amp;" ==&gt; "&amp;ROUND(AE483*100,0)&amp;" %")),"")</f>
        <v>A noter qu'il convient de choisir l'option retenue par l'entreprise lors de sa demande au titre du mois Février ou a défaut celui du mois de Mars, Avril, ou Mai 2021, si le CA de référence était celui de l'exercice 2019, il convient de prendre celui de l'exercie 2019, soit une perte de 0 € ==&gt; 0 %</v>
      </c>
      <c r="E528" s="524"/>
      <c r="F528" s="524"/>
      <c r="G528" s="524"/>
      <c r="H528" s="524"/>
      <c r="I528" s="524"/>
      <c r="J528" s="524"/>
      <c r="K528" s="524"/>
      <c r="L528" s="524"/>
      <c r="M528" s="524"/>
      <c r="N528" s="524"/>
      <c r="O528" s="524"/>
      <c r="P528" s="377"/>
      <c r="Q528" s="377"/>
      <c r="T528" s="14"/>
      <c r="U528" s="1"/>
      <c r="V528" s="1"/>
      <c r="W528" s="1"/>
      <c r="X528" s="1"/>
      <c r="Y528" s="1"/>
      <c r="Z528" s="1"/>
      <c r="AA528" s="1"/>
      <c r="AB528" s="1"/>
      <c r="AC528" s="1"/>
      <c r="AD528" s="1"/>
      <c r="AE528" s="13"/>
    </row>
    <row r="529" spans="2:31" ht="16.5" customHeight="1">
      <c r="B529" s="173"/>
      <c r="C529" s="387"/>
      <c r="D529" s="524"/>
      <c r="E529" s="524"/>
      <c r="F529" s="524"/>
      <c r="G529" s="524"/>
      <c r="H529" s="524"/>
      <c r="I529" s="524"/>
      <c r="J529" s="524"/>
      <c r="K529" s="524"/>
      <c r="L529" s="524"/>
      <c r="M529" s="524"/>
      <c r="N529" s="524"/>
      <c r="O529" s="524"/>
      <c r="P529" s="377"/>
      <c r="Q529" s="377"/>
      <c r="T529" s="14"/>
      <c r="U529" s="1"/>
      <c r="V529" s="1"/>
      <c r="W529" s="1"/>
      <c r="X529" s="1"/>
      <c r="Y529" s="1"/>
      <c r="Z529" s="1"/>
      <c r="AA529" s="1"/>
      <c r="AB529" s="1"/>
      <c r="AC529" s="1"/>
      <c r="AD529" s="1"/>
      <c r="AE529" s="13"/>
    </row>
    <row r="530" spans="2:31" ht="16.5" customHeight="1" thickBot="1">
      <c r="B530" s="168"/>
      <c r="C530" s="387"/>
      <c r="D530" s="205"/>
      <c r="E530" s="377"/>
      <c r="F530" s="377"/>
      <c r="G530" s="377"/>
      <c r="H530" s="377"/>
      <c r="I530" s="377"/>
      <c r="J530" s="377"/>
      <c r="K530" s="377"/>
      <c r="L530" s="377"/>
      <c r="M530" s="377"/>
      <c r="N530" s="377"/>
      <c r="O530" s="377"/>
      <c r="P530" s="377"/>
      <c r="Q530" s="377"/>
      <c r="T530" s="14"/>
      <c r="U530" s="1"/>
      <c r="V530" s="1"/>
      <c r="W530" s="1"/>
      <c r="X530" s="1"/>
      <c r="Y530" s="1"/>
      <c r="Z530" s="1"/>
      <c r="AA530" s="1"/>
      <c r="AB530" s="1"/>
      <c r="AC530" s="1"/>
      <c r="AD530" s="1"/>
      <c r="AE530" s="13"/>
    </row>
    <row r="531" spans="2:31" ht="16.5" customHeight="1">
      <c r="B531" s="103"/>
      <c r="C531" s="180"/>
      <c r="D531" s="526" t="str">
        <f>IFERROR(IF(AB513="NON","Vous avez débuté votre activité après le 31 Janvier 2020, vous ne pouvez donc pas bénéficier de cette aide",IF(AB511=TRUE,IF(AB517*0.2&gt;Annexes!O8,"Dans votre cas, l'aide est plafonnée, à "&amp;Annexes!O8&amp;" € pour le mois de Juin","Dans votre cas, l'aide est plafonnée à 20 % du CA, soit "&amp;ROUND(AB517*0.2,0)&amp;" € pour le mois de Juin"),"Vous ne faites pas partie des entreprises en fermeture Administrative avec 20 % de perte de CA")),"Vous n'avez pas indiqué de chiffre d'affaires de référence")</f>
        <v>Vous ne faites pas partie des entreprises en fermeture Administrative avec 20 % de perte de CA</v>
      </c>
      <c r="E531" s="509"/>
      <c r="F531" s="509"/>
      <c r="G531" s="509"/>
      <c r="H531" s="509"/>
      <c r="I531" s="509"/>
      <c r="J531" s="509"/>
      <c r="K531" s="509"/>
      <c r="L531" s="509"/>
      <c r="M531" s="509"/>
      <c r="N531" s="509"/>
      <c r="O531" s="510"/>
      <c r="P531" s="377"/>
      <c r="Q531" s="377"/>
      <c r="T531" s="14"/>
      <c r="U531" s="1"/>
      <c r="V531" s="1"/>
      <c r="W531" s="1"/>
      <c r="X531" s="1"/>
      <c r="Y531" s="1"/>
      <c r="Z531" s="1"/>
      <c r="AA531" s="1"/>
      <c r="AB531" s="1"/>
      <c r="AC531" s="1"/>
      <c r="AD531" s="1"/>
      <c r="AE531" s="13"/>
    </row>
    <row r="532" spans="2:31" ht="16.5" customHeight="1">
      <c r="B532" s="103"/>
      <c r="C532" s="180"/>
      <c r="D532" s="511"/>
      <c r="E532" s="512"/>
      <c r="F532" s="512"/>
      <c r="G532" s="512"/>
      <c r="H532" s="512"/>
      <c r="I532" s="512"/>
      <c r="J532" s="512"/>
      <c r="K532" s="512"/>
      <c r="L532" s="512"/>
      <c r="M532" s="512"/>
      <c r="N532" s="512"/>
      <c r="O532" s="513"/>
      <c r="P532" s="377"/>
      <c r="Q532" s="377"/>
      <c r="T532" s="14"/>
      <c r="U532" s="1"/>
      <c r="V532" s="1"/>
      <c r="W532" s="1"/>
      <c r="X532" s="1"/>
      <c r="Y532" s="1"/>
      <c r="Z532" s="1"/>
      <c r="AA532" s="1"/>
      <c r="AB532" s="1"/>
      <c r="AC532" s="1"/>
      <c r="AD532" s="1"/>
      <c r="AE532" s="13"/>
    </row>
    <row r="533" spans="2:31" ht="16.5" customHeight="1">
      <c r="B533" s="103"/>
      <c r="C533" s="180"/>
      <c r="D533" s="511"/>
      <c r="E533" s="512"/>
      <c r="F533" s="512"/>
      <c r="G533" s="512"/>
      <c r="H533" s="512"/>
      <c r="I533" s="512"/>
      <c r="J533" s="512"/>
      <c r="K533" s="512"/>
      <c r="L533" s="512"/>
      <c r="M533" s="512"/>
      <c r="N533" s="512"/>
      <c r="O533" s="513"/>
      <c r="P533" s="175"/>
      <c r="Q533" s="175"/>
      <c r="T533" s="14"/>
      <c r="U533" s="1"/>
      <c r="V533" s="1"/>
      <c r="W533" s="1"/>
      <c r="X533" s="1"/>
      <c r="Y533" s="1"/>
      <c r="Z533" s="1"/>
      <c r="AA533" s="1"/>
      <c r="AB533" s="1"/>
      <c r="AC533" s="1"/>
      <c r="AD533" s="1"/>
      <c r="AE533" s="13"/>
    </row>
    <row r="534" spans="2:31" ht="16.5" customHeight="1" thickBot="1">
      <c r="B534" s="103"/>
      <c r="C534" s="180"/>
      <c r="D534" s="514"/>
      <c r="E534" s="515"/>
      <c r="F534" s="515"/>
      <c r="G534" s="515"/>
      <c r="H534" s="515"/>
      <c r="I534" s="515"/>
      <c r="J534" s="515"/>
      <c r="K534" s="515"/>
      <c r="L534" s="515"/>
      <c r="M534" s="515"/>
      <c r="N534" s="515"/>
      <c r="O534" s="516"/>
      <c r="T534" s="14"/>
      <c r="U534" s="1"/>
      <c r="V534" s="1"/>
      <c r="W534" s="1"/>
      <c r="X534" s="1"/>
      <c r="Y534" s="1"/>
      <c r="Z534" s="1"/>
      <c r="AA534" s="1"/>
      <c r="AB534" s="1"/>
      <c r="AC534" s="1"/>
      <c r="AD534" s="1"/>
      <c r="AE534" s="13"/>
    </row>
    <row r="535" spans="2:31" ht="16.5" customHeight="1">
      <c r="B535" s="5"/>
      <c r="C535" s="5"/>
      <c r="D535" s="354"/>
      <c r="E535" s="354"/>
      <c r="F535" s="354"/>
      <c r="G535" s="354"/>
      <c r="H535" s="354"/>
      <c r="I535" s="354"/>
      <c r="J535" s="354"/>
      <c r="K535" s="354"/>
      <c r="L535" s="354"/>
      <c r="M535" s="354"/>
      <c r="N535" s="354"/>
      <c r="O535" s="354"/>
      <c r="P535" s="177"/>
      <c r="Q535" s="177"/>
      <c r="T535" s="14"/>
      <c r="U535" s="1"/>
      <c r="V535" s="1"/>
      <c r="W535" s="1"/>
      <c r="X535" s="1"/>
      <c r="Y535" s="1"/>
      <c r="Z535" s="1"/>
      <c r="AA535" s="1"/>
      <c r="AB535" s="1"/>
      <c r="AC535" s="1"/>
      <c r="AD535" s="1"/>
      <c r="AE535" s="13"/>
    </row>
    <row r="536" spans="2:31" ht="16.5" thickBot="1">
      <c r="B536" s="220"/>
      <c r="C536" s="488" t="s">
        <v>482</v>
      </c>
      <c r="D536" s="488"/>
      <c r="E536" s="488"/>
      <c r="F536" s="488"/>
      <c r="G536" s="488"/>
      <c r="H536" s="488"/>
      <c r="I536" s="221"/>
      <c r="J536" s="221"/>
      <c r="K536" s="221"/>
      <c r="L536" s="221"/>
      <c r="M536" s="221"/>
      <c r="N536" s="221"/>
      <c r="O536" s="221"/>
      <c r="T536" s="16"/>
      <c r="U536" s="11"/>
      <c r="V536" s="11"/>
      <c r="W536" s="11"/>
      <c r="X536" s="11"/>
      <c r="Y536" s="11"/>
      <c r="Z536" s="11"/>
      <c r="AA536" s="11"/>
      <c r="AB536" s="11"/>
      <c r="AC536" s="11"/>
      <c r="AD536" s="11"/>
      <c r="AE536" s="12"/>
    </row>
    <row r="537" spans="2:31" ht="15" customHeight="1">
      <c r="B537" s="63"/>
      <c r="C537" s="24"/>
      <c r="D537" s="24"/>
      <c r="E537" s="24"/>
      <c r="F537" s="24"/>
      <c r="G537" s="24"/>
      <c r="H537" s="63"/>
      <c r="I537" s="1"/>
      <c r="J537" s="1"/>
      <c r="K537" s="1"/>
      <c r="L537" s="1"/>
      <c r="M537" s="1"/>
      <c r="N537" s="1"/>
      <c r="O537" s="1"/>
      <c r="T537" s="14"/>
      <c r="U537" s="1"/>
      <c r="V537" s="1"/>
      <c r="W537" s="1"/>
      <c r="X537" s="1"/>
      <c r="Y537" s="1"/>
      <c r="Z537" s="1"/>
      <c r="AA537" s="1"/>
      <c r="AB537" s="1"/>
      <c r="AC537" s="1"/>
      <c r="AD537" s="1"/>
      <c r="AE537" s="13"/>
    </row>
    <row r="538" spans="2:31" ht="15" customHeight="1">
      <c r="B538" s="103"/>
      <c r="C538" s="489" t="s">
        <v>483</v>
      </c>
      <c r="D538" s="489"/>
      <c r="E538" s="489"/>
      <c r="F538" s="489"/>
      <c r="G538" s="489"/>
      <c r="H538" s="489"/>
      <c r="I538" s="489"/>
      <c r="J538" s="489"/>
      <c r="K538" s="489"/>
      <c r="L538" s="489"/>
      <c r="M538" s="489"/>
      <c r="N538" s="489"/>
      <c r="O538" s="489"/>
      <c r="P538" s="1"/>
      <c r="T538" s="25"/>
      <c r="U538" s="490" t="s">
        <v>20</v>
      </c>
      <c r="V538" s="490"/>
      <c r="W538" s="490"/>
      <c r="X538" s="1"/>
      <c r="Y538" s="390" t="s">
        <v>6</v>
      </c>
      <c r="Z538" s="390"/>
      <c r="AA538" s="390"/>
      <c r="AB538" s="390" t="s">
        <v>23</v>
      </c>
      <c r="AC538" s="390"/>
      <c r="AD538" s="390"/>
      <c r="AE538" s="26" t="s">
        <v>24</v>
      </c>
    </row>
    <row r="539" spans="2:31" ht="15.75" customHeight="1">
      <c r="B539" s="103"/>
      <c r="C539" s="387"/>
      <c r="D539" s="60" t="s">
        <v>435</v>
      </c>
      <c r="E539" s="387"/>
      <c r="F539" s="387"/>
      <c r="G539" s="387"/>
      <c r="H539" s="387"/>
      <c r="I539" s="387"/>
      <c r="J539" s="387"/>
      <c r="K539" s="387"/>
      <c r="L539" s="387"/>
      <c r="M539" s="387"/>
      <c r="N539" s="387"/>
      <c r="O539" s="387"/>
      <c r="P539" s="1"/>
      <c r="T539" s="25"/>
      <c r="U539" s="390"/>
      <c r="V539" s="390"/>
      <c r="W539" s="390"/>
      <c r="X539" s="1"/>
      <c r="Y539" s="390"/>
      <c r="Z539" s="390"/>
      <c r="AA539" s="390"/>
      <c r="AB539" s="390"/>
      <c r="AC539" s="390"/>
      <c r="AD539" s="390"/>
      <c r="AE539" s="26"/>
    </row>
    <row r="540" spans="2:31" ht="15.75">
      <c r="B540" s="103"/>
      <c r="C540" s="387"/>
      <c r="D540" s="60"/>
      <c r="E540" s="387"/>
      <c r="F540" s="387"/>
      <c r="G540" s="387"/>
      <c r="H540" s="387"/>
      <c r="I540" s="387"/>
      <c r="J540" s="387"/>
      <c r="K540" s="387"/>
      <c r="L540" s="387"/>
      <c r="M540" s="387"/>
      <c r="N540" s="387"/>
      <c r="O540" s="387"/>
      <c r="P540" s="1"/>
      <c r="T540" s="491" t="s">
        <v>484</v>
      </c>
      <c r="U540" s="490"/>
      <c r="V540" s="490"/>
      <c r="W540" s="490"/>
      <c r="X540" s="1"/>
      <c r="Y540" s="7">
        <f>'Mon Entreprise'!I134</f>
        <v>0</v>
      </c>
      <c r="Z540" s="133"/>
      <c r="AA540" s="21"/>
      <c r="AB540" s="7">
        <f>IF('Mon Entreprise'!I134-'Mon Entreprise'!M134&lt;0,0,'Mon Entreprise'!I134-'Mon Entreprise'!M134)</f>
        <v>0</v>
      </c>
      <c r="AC540" s="13"/>
      <c r="AD540" s="1"/>
      <c r="AE540" s="27">
        <f>IFERROR(1-'Mon Entreprise'!M134/'Mon Entreprise'!I134,0)</f>
        <v>0</v>
      </c>
    </row>
    <row r="541" spans="2:31" ht="15.75" hidden="1">
      <c r="B541" s="103"/>
      <c r="C541" s="387"/>
      <c r="D541" s="492" t="str">
        <f>IFERROR(IF(AND(AB583=0,AB584=0,AB585=0),"Vous ne pouvez pas bénéficier du fonds de solidarité pour le mois de Juillet 2021",IF(AND(AB585&gt;AB584,AB585&gt;AB583),"Votre entreprise peut bénéficier d'une aide de "&amp;AB585&amp;" €, au titre d'une fermeture Administrative avec une perte de 20 % de CA",IF(AB584&gt;AB583,"Votre entreprise peut bénéficier d'une aide de "&amp;AB584&amp;"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"&amp;AB583&amp;" €, au titre d'une fermeture administrative d'au moins 10 jours et d'une perte d'au-moins 50 % de votre CA en Juillet 2021"))),"Vous n'avez pas indiqué de chiffre d'affaires de référence")</f>
        <v>Vous ne pouvez pas bénéficier du fonds de solidarité pour le mois de Juillet 2021</v>
      </c>
      <c r="E541" s="493"/>
      <c r="F541" s="493"/>
      <c r="G541" s="493"/>
      <c r="H541" s="493"/>
      <c r="I541" s="493"/>
      <c r="J541" s="493"/>
      <c r="K541" s="493"/>
      <c r="L541" s="493"/>
      <c r="M541" s="493"/>
      <c r="N541" s="493"/>
      <c r="O541" s="494"/>
      <c r="P541" s="1"/>
      <c r="T541" s="491" t="s">
        <v>25</v>
      </c>
      <c r="U541" s="490"/>
      <c r="V541" s="490"/>
      <c r="W541" s="490"/>
      <c r="X541" s="1"/>
      <c r="Y541" s="7">
        <f>'Mon Entreprise'!I98</f>
        <v>0</v>
      </c>
      <c r="Z541" s="133"/>
      <c r="AA541" s="21"/>
      <c r="AB541" s="7">
        <f>IF('Mon Entreprise'!I98-'Mon Entreprise'!M134&lt;0,0,'Mon Entreprise'!I98-'Mon Entreprise'!M134)</f>
        <v>0</v>
      </c>
      <c r="AC541" s="36"/>
      <c r="AD541" s="1"/>
      <c r="AE541" s="27">
        <f>IFERROR(1-'Mon Entreprise'!M134/'Mon Entreprise'!I98,0)</f>
        <v>0</v>
      </c>
    </row>
    <row r="542" spans="2:31" ht="15.75" hidden="1" customHeight="1">
      <c r="B542" s="103"/>
      <c r="C542" s="387"/>
      <c r="D542" s="495"/>
      <c r="E542" s="496"/>
      <c r="F542" s="496"/>
      <c r="G542" s="496"/>
      <c r="H542" s="496"/>
      <c r="I542" s="496"/>
      <c r="J542" s="496"/>
      <c r="K542" s="496"/>
      <c r="L542" s="496"/>
      <c r="M542" s="496"/>
      <c r="N542" s="496"/>
      <c r="O542" s="497"/>
      <c r="P542" s="1"/>
      <c r="T542" s="501" t="s">
        <v>22</v>
      </c>
      <c r="U542" s="502"/>
      <c r="V542" s="502"/>
      <c r="W542" s="502"/>
      <c r="X542" s="139"/>
      <c r="Y542" s="140" t="str">
        <f>IF('Mon Entreprise'!I148="","NC",'Mon Entreprise'!I148)</f>
        <v>NC</v>
      </c>
      <c r="Z542" s="191"/>
      <c r="AA542" s="192"/>
      <c r="AB542" s="143" t="str">
        <f>IFERROR(IF('Mon Entreprise'!I148-'Mon Entreprise'!M134&lt;0,0,'Mon Entreprise'!I148-'Mon Entreprise'!M134),"NC")</f>
        <v>NC</v>
      </c>
      <c r="AC542" s="193"/>
      <c r="AD542" s="139"/>
      <c r="AE542" s="146" t="str">
        <f>IFERROR(1-'Mon Entreprise'!M134/'Mon Entreprise'!I148,"NC")</f>
        <v>NC</v>
      </c>
    </row>
    <row r="543" spans="2:31" ht="15.75" hidden="1" customHeight="1">
      <c r="B543" s="103"/>
      <c r="C543" s="387"/>
      <c r="D543" s="495"/>
      <c r="E543" s="496"/>
      <c r="F543" s="496"/>
      <c r="G543" s="496"/>
      <c r="H543" s="496"/>
      <c r="I543" s="496"/>
      <c r="J543" s="496"/>
      <c r="K543" s="496"/>
      <c r="L543" s="496"/>
      <c r="M543" s="496"/>
      <c r="N543" s="496"/>
      <c r="O543" s="497"/>
      <c r="P543" s="1"/>
      <c r="T543" s="388"/>
      <c r="U543" s="385"/>
      <c r="V543" s="385"/>
      <c r="W543" s="385"/>
      <c r="X543" s="139"/>
      <c r="Y543" s="140"/>
      <c r="Z543" s="141"/>
      <c r="AA543" s="192"/>
      <c r="AB543" s="143"/>
      <c r="AC543" s="385"/>
      <c r="AD543" s="139"/>
      <c r="AE543" s="146"/>
    </row>
    <row r="544" spans="2:31" ht="15.75" hidden="1" customHeight="1">
      <c r="B544" s="103"/>
      <c r="C544" s="387"/>
      <c r="D544" s="495"/>
      <c r="E544" s="496"/>
      <c r="F544" s="496"/>
      <c r="G544" s="496"/>
      <c r="H544" s="496"/>
      <c r="I544" s="496"/>
      <c r="J544" s="496"/>
      <c r="K544" s="496"/>
      <c r="L544" s="496"/>
      <c r="M544" s="496"/>
      <c r="N544" s="496"/>
      <c r="O544" s="497"/>
      <c r="P544" s="1"/>
      <c r="T544" s="14"/>
      <c r="U544" s="1"/>
      <c r="V544" s="1"/>
      <c r="W544" s="1"/>
      <c r="X544" s="1"/>
      <c r="Y544" s="1"/>
      <c r="Z544" s="1"/>
      <c r="AA544" s="1"/>
      <c r="AB544" s="1"/>
      <c r="AC544" s="1"/>
      <c r="AD544" s="1"/>
      <c r="AE544" s="13"/>
    </row>
    <row r="545" spans="2:31" ht="15.75" hidden="1" customHeight="1">
      <c r="B545" s="103"/>
      <c r="C545" s="387"/>
      <c r="D545" s="495"/>
      <c r="E545" s="496"/>
      <c r="F545" s="496"/>
      <c r="G545" s="496"/>
      <c r="H545" s="496"/>
      <c r="I545" s="496"/>
      <c r="J545" s="496"/>
      <c r="K545" s="496"/>
      <c r="L545" s="496"/>
      <c r="M545" s="496"/>
      <c r="N545" s="496"/>
      <c r="O545" s="497"/>
      <c r="P545" s="1"/>
      <c r="T545" s="14"/>
      <c r="AC545" s="1"/>
      <c r="AD545" s="1"/>
      <c r="AE545" s="13"/>
    </row>
    <row r="546" spans="2:31" ht="15.75" hidden="1" customHeight="1" thickBot="1">
      <c r="B546" s="103"/>
      <c r="C546" s="387"/>
      <c r="D546" s="498"/>
      <c r="E546" s="499"/>
      <c r="F546" s="499"/>
      <c r="G546" s="499"/>
      <c r="H546" s="499"/>
      <c r="I546" s="499"/>
      <c r="J546" s="499"/>
      <c r="K546" s="499"/>
      <c r="L546" s="499"/>
      <c r="M546" s="499"/>
      <c r="N546" s="499"/>
      <c r="O546" s="500"/>
      <c r="P546" s="1"/>
      <c r="T546" s="14"/>
      <c r="AC546" s="1"/>
      <c r="AD546" s="1"/>
      <c r="AE546" s="13"/>
    </row>
    <row r="547" spans="2:31" ht="16.5" hidden="1" customHeight="1">
      <c r="B547" s="103"/>
      <c r="C547" s="387"/>
      <c r="D547" s="503" t="s">
        <v>493</v>
      </c>
      <c r="E547" s="503"/>
      <c r="F547" s="503"/>
      <c r="G547" s="503"/>
      <c r="H547" s="503"/>
      <c r="I547" s="503"/>
      <c r="J547" s="503"/>
      <c r="K547" s="503"/>
      <c r="L547" s="503"/>
      <c r="M547" s="503"/>
      <c r="N547" s="503"/>
      <c r="O547" s="503"/>
      <c r="P547" s="1"/>
      <c r="T547" s="14"/>
      <c r="AC547" s="1"/>
      <c r="AD547" s="1"/>
      <c r="AE547" s="13"/>
    </row>
    <row r="548" spans="2:31" ht="16.5" hidden="1" customHeight="1">
      <c r="B548" s="103"/>
      <c r="C548" s="387"/>
      <c r="D548" s="504"/>
      <c r="E548" s="504"/>
      <c r="F548" s="504"/>
      <c r="G548" s="504"/>
      <c r="H548" s="504"/>
      <c r="I548" s="504"/>
      <c r="J548" s="504"/>
      <c r="K548" s="504"/>
      <c r="L548" s="504"/>
      <c r="M548" s="504"/>
      <c r="N548" s="504"/>
      <c r="O548" s="504"/>
      <c r="P548" s="1"/>
      <c r="T548" s="14"/>
      <c r="AC548" s="1"/>
      <c r="AD548" s="1"/>
      <c r="AE548" s="13"/>
    </row>
    <row r="549" spans="2:31" ht="15.75">
      <c r="B549" s="103"/>
      <c r="C549" s="78"/>
      <c r="D549" s="78"/>
      <c r="E549" s="78"/>
      <c r="F549" s="78"/>
      <c r="G549" s="78"/>
      <c r="H549" s="78"/>
      <c r="I549" s="78"/>
      <c r="J549" s="78"/>
      <c r="K549" s="78"/>
      <c r="L549" s="78"/>
      <c r="M549" s="78"/>
      <c r="N549" s="78"/>
      <c r="O549" s="78"/>
      <c r="P549" s="1"/>
      <c r="T549" s="14"/>
      <c r="U549" s="1"/>
      <c r="V549" s="1"/>
      <c r="W549" s="1"/>
      <c r="X549" s="1"/>
      <c r="Y549" s="1"/>
      <c r="Z549" s="1"/>
      <c r="AA549" s="1"/>
      <c r="AB549" s="1"/>
      <c r="AC549" s="1"/>
      <c r="AD549" s="1"/>
      <c r="AE549" s="13"/>
    </row>
    <row r="550" spans="2:31" ht="15.75">
      <c r="B550" s="103"/>
      <c r="C550" s="387"/>
      <c r="D550" s="60"/>
      <c r="E550" s="387"/>
      <c r="F550" s="387"/>
      <c r="G550" s="387"/>
      <c r="H550" s="387"/>
      <c r="I550" s="387"/>
      <c r="J550" s="387"/>
      <c r="K550" s="387"/>
      <c r="L550" s="387"/>
      <c r="M550" s="387"/>
      <c r="N550" s="387"/>
      <c r="O550" s="387"/>
      <c r="P550" s="1"/>
      <c r="T550" s="14"/>
      <c r="U550" s="1"/>
      <c r="V550" s="1"/>
      <c r="W550" s="1"/>
      <c r="X550" s="1"/>
      <c r="Y550" s="1"/>
      <c r="Z550" s="1"/>
      <c r="AA550" s="1"/>
      <c r="AB550" s="1"/>
      <c r="AC550" s="1"/>
      <c r="AD550" s="1"/>
      <c r="AE550" s="13"/>
    </row>
    <row r="551" spans="2:31" ht="15.75">
      <c r="B551" s="103"/>
      <c r="C551" s="505" t="s">
        <v>492</v>
      </c>
      <c r="D551" s="505"/>
      <c r="E551" s="505"/>
      <c r="F551" s="505"/>
      <c r="G551" s="505"/>
      <c r="H551" s="505"/>
      <c r="I551" s="505"/>
      <c r="J551" s="505"/>
      <c r="K551" s="505"/>
      <c r="L551" s="505"/>
      <c r="M551" s="505"/>
      <c r="N551" s="505"/>
      <c r="O551" s="505"/>
      <c r="P551" s="1"/>
      <c r="T551" s="14"/>
      <c r="U551" s="1"/>
      <c r="V551" s="1"/>
      <c r="W551" s="1"/>
      <c r="X551" s="1"/>
      <c r="Y551" s="1"/>
      <c r="Z551" s="1"/>
      <c r="AA551" s="1"/>
      <c r="AB551" s="1"/>
      <c r="AC551" s="1"/>
      <c r="AD551" s="1"/>
      <c r="AE551" s="13"/>
    </row>
    <row r="552" spans="2:31" ht="15.75">
      <c r="B552" s="103"/>
      <c r="C552" s="505"/>
      <c r="D552" s="505"/>
      <c r="E552" s="505"/>
      <c r="F552" s="505"/>
      <c r="G552" s="505"/>
      <c r="H552" s="505"/>
      <c r="I552" s="505"/>
      <c r="J552" s="505"/>
      <c r="K552" s="505"/>
      <c r="L552" s="505"/>
      <c r="M552" s="505"/>
      <c r="N552" s="505"/>
      <c r="O552" s="505"/>
      <c r="P552" s="1"/>
      <c r="T552" s="14"/>
      <c r="U552" s="506" t="s">
        <v>72</v>
      </c>
      <c r="V552" s="506"/>
      <c r="W552" s="506"/>
      <c r="X552" s="506"/>
      <c r="Y552" s="506"/>
      <c r="Z552" s="1"/>
      <c r="AA552" s="14"/>
      <c r="AB552" s="385" t="str">
        <f>IF('Mon Entreprise'!K8&lt;=Annexes!R15,"Oui","Non")</f>
        <v>Oui</v>
      </c>
      <c r="AC552" s="1"/>
      <c r="AD552" s="1"/>
      <c r="AE552" s="13"/>
    </row>
    <row r="553" spans="2:31" ht="15.75">
      <c r="B553" s="168"/>
      <c r="C553" s="387"/>
      <c r="D553" s="60" t="str">
        <f>IFERROR(IF('Mon Entreprise'!K8&gt;=Annexes!O20,IF(AB540&gt;=AB542,"Le CA de référence est celui de Juillet 2019, soit une perte de "&amp;ROUND(AB540,0)&amp;" €"&amp;" ==&gt; "&amp;ROUND(AE540*100,0)&amp;" %","Le CA de référence est celui de la création, soit une perte de "&amp;ROUND(AB542,0)&amp;" €"&amp;" ==&gt; "&amp;ROUND(AE542*100,0)&amp;" %"),IF(AB540&gt;=AB541,"Le CA de référence est celui de Juillet 2019, soit une perte de "&amp;ROUND(AB540,0)&amp;" €"&amp;" ==&gt; "&amp;ROUND(AE540*100,0)&amp;" %","Le CA de référence est celui de l'exercice 2019, soit une perte de "&amp;ROUND(AB541,0)&amp;" €"&amp;" ==&gt; "&amp;ROUND(AE541*100,0)&amp;" %")),"")</f>
        <v>Le CA de référence est celui de Juillet 2019, soit une perte de 0 € ==&gt; 0 %</v>
      </c>
      <c r="E553" s="387"/>
      <c r="F553" s="387"/>
      <c r="G553" s="387"/>
      <c r="H553" s="387"/>
      <c r="I553" s="387"/>
      <c r="J553" s="387"/>
      <c r="K553" s="387"/>
      <c r="L553" s="387"/>
      <c r="M553" s="387"/>
      <c r="N553" s="387"/>
      <c r="O553" s="387"/>
      <c r="P553" s="1"/>
      <c r="T553" s="14"/>
      <c r="U553" s="386"/>
      <c r="V553" s="506" t="s">
        <v>393</v>
      </c>
      <c r="W553" s="506"/>
      <c r="X553" s="506"/>
      <c r="Y553" s="506"/>
      <c r="Z553" s="1"/>
      <c r="AA553" s="14"/>
      <c r="AB553" s="385">
        <f>IF('Mon Entreprise'!K8&gt;=Annexes!O20,IF(Y540&gt;=Y542,Y540,Y542),IF(Y540&gt;=Y541,Y540,Y541))</f>
        <v>0</v>
      </c>
      <c r="AC553" s="1"/>
      <c r="AD553" s="1"/>
      <c r="AE553" s="13"/>
    </row>
    <row r="554" spans="2:31" ht="15.75" customHeight="1">
      <c r="B554" s="168"/>
      <c r="C554" s="387"/>
      <c r="D554" s="507" t="str">
        <f>IFERROR(IF('Mon Entreprise'!K8&gt;=Annexes!O20,"",IF(AB540&lt;AB541,"A noter qu'il convient de choisir l'option retenue par l'entreprise lors de sa demande au titre du mois Février 2021, ou a défaut celui du mois de Mars, d'Avril, Mai, ou Juin 2021, si le CA de référence était celui de février 2019 (...),"&amp;" il convient de prendre"&amp;" celui de Juillet 2019, soit "&amp;ROUND(AB540,0)&amp;" €"&amp;" ==&gt; "&amp;ROUND(AE540*100,0)&amp;" %","A noter qu'il convient de choisir l'option retenue par l'entreprise lors de sa demande au titre du mois Février 2021, ou "&amp;"a défaut celui du mois de Mars, d'Avril, Mai, ou Juin 2021, si"&amp;" le CA de référence était celui de l'exercice 2019, il convient de prendre celui de l'exercie 2019, soit une perte de "&amp;ROUND(AB541,0)&amp;" €"&amp;" ==&gt; "&amp;ROUND(AE541*100,0)&amp;" %")),"")</f>
        <v>A noter qu'il convient de choisir l'option retenue par l'entreprise lors de sa demande au titre du mois Février 2021, ou a défaut celui du mois de Mars, d'Avril, Mai, ou Juin 2021, si le CA de référence était celui de l'exercice 2019, il convient de prendre celui de l'exercie 2019, soit une perte de 0 € ==&gt; 0 %</v>
      </c>
      <c r="E554" s="507"/>
      <c r="F554" s="507"/>
      <c r="G554" s="507"/>
      <c r="H554" s="507"/>
      <c r="I554" s="507"/>
      <c r="J554" s="507"/>
      <c r="K554" s="507"/>
      <c r="L554" s="507"/>
      <c r="M554" s="507"/>
      <c r="N554" s="507"/>
      <c r="O554" s="507"/>
      <c r="P554" s="1"/>
      <c r="T554" s="14"/>
      <c r="U554" s="506" t="s">
        <v>84</v>
      </c>
      <c r="V554" s="506"/>
      <c r="W554" s="506"/>
      <c r="X554" s="506"/>
      <c r="Y554" s="506"/>
      <c r="Z554" s="1"/>
      <c r="AA554" s="14"/>
      <c r="AB554" s="381">
        <f>IF('Mon Entreprise'!K8&gt;=Annexes!O20,IF(AB540&gt;=AB542,AB540,AB542),IF(AB540&gt;=AB541,AB540,AB541))</f>
        <v>0</v>
      </c>
      <c r="AC554" s="1"/>
      <c r="AD554" s="1"/>
      <c r="AE554" s="13"/>
    </row>
    <row r="555" spans="2:31" ht="15.75">
      <c r="B555" s="168"/>
      <c r="C555" s="387"/>
      <c r="D555" s="507"/>
      <c r="E555" s="507"/>
      <c r="F555" s="507"/>
      <c r="G555" s="507"/>
      <c r="H555" s="507"/>
      <c r="I555" s="507"/>
      <c r="J555" s="507"/>
      <c r="K555" s="507"/>
      <c r="L555" s="507"/>
      <c r="M555" s="507"/>
      <c r="N555" s="507"/>
      <c r="O555" s="507"/>
      <c r="P555" s="1"/>
      <c r="T555" s="14"/>
      <c r="U555" s="506" t="s">
        <v>85</v>
      </c>
      <c r="V555" s="506"/>
      <c r="W555" s="506"/>
      <c r="X555" s="506"/>
      <c r="Y555" s="506"/>
      <c r="Z555" s="1"/>
      <c r="AA555" s="14"/>
      <c r="AB555" s="19">
        <f>IF('Mon Entreprise'!K8&gt;=Annexes!O20,IF(AB540&gt;=AB542,AE540,AE542),IF(AB540&gt;=AB541,AE540,AE541))</f>
        <v>0</v>
      </c>
      <c r="AC555" s="1"/>
      <c r="AD555" s="1"/>
      <c r="AE555" s="13"/>
    </row>
    <row r="556" spans="2:31" ht="15.75">
      <c r="B556" s="168"/>
      <c r="C556" s="387"/>
      <c r="D556" s="507"/>
      <c r="E556" s="507"/>
      <c r="F556" s="507"/>
      <c r="G556" s="507"/>
      <c r="H556" s="507"/>
      <c r="I556" s="507"/>
      <c r="J556" s="507"/>
      <c r="K556" s="507"/>
      <c r="L556" s="507"/>
      <c r="M556" s="507"/>
      <c r="N556" s="507"/>
      <c r="O556" s="507"/>
      <c r="P556" s="1"/>
      <c r="T556" s="14"/>
      <c r="U556" s="386"/>
      <c r="V556" s="386"/>
      <c r="W556" s="386"/>
      <c r="X556" s="386"/>
      <c r="Y556" s="386"/>
      <c r="Z556" s="1"/>
      <c r="AA556" s="1"/>
      <c r="AB556" s="19"/>
      <c r="AC556" s="1"/>
      <c r="AD556" s="1"/>
      <c r="AE556" s="13"/>
    </row>
    <row r="557" spans="2:31" ht="16.5" thickBot="1">
      <c r="B557" s="103"/>
      <c r="C557" s="387"/>
      <c r="D557" s="60" t="s">
        <v>7</v>
      </c>
      <c r="E557" s="387"/>
      <c r="F557" s="387"/>
      <c r="G557" s="387"/>
      <c r="H557" s="387"/>
      <c r="I557" s="387"/>
      <c r="J557" s="387"/>
      <c r="K557" s="387"/>
      <c r="L557" s="387"/>
      <c r="M557" s="387"/>
      <c r="N557" s="387"/>
      <c r="O557" s="387"/>
      <c r="P557" s="1"/>
      <c r="T557" s="14"/>
      <c r="U557" s="1"/>
      <c r="V557" s="1"/>
      <c r="W557" s="1"/>
      <c r="X557" s="1"/>
      <c r="Y557" s="1"/>
      <c r="Z557" s="1"/>
      <c r="AA557" s="1"/>
      <c r="AB557" s="1"/>
      <c r="AC557" s="1"/>
      <c r="AD557" s="1"/>
      <c r="AE557" s="13"/>
    </row>
    <row r="558" spans="2:31" ht="15.75">
      <c r="B558" s="168"/>
      <c r="C558" s="387"/>
      <c r="D558" s="508" t="str">
        <f>IFERROR(IF(AB552="Non","Vous avez débuté votre activité après le 31 Janvier 2020, vous ne pouvez donc pas bénéficier de cette aide",IF(AND(AB571=TRUE,AB555&gt;=0.5),IF(AB554&gt;Annexes!O5,"Dans votre cas, l'aide est Plafonnée, à "&amp;Annexes!O5&amp;" € pour le mois de Juillet","Vous pouvez bénéficier, au titre de cette aide, d'un montant de "&amp;ROUND(AB554,0)&amp;" € pour le mois de Juillet"),"L'entreprise n'a pas une perte d'au moins 50 % en Juillet 2021 ou n'a pas été en fermeture Administrative au moins 10 Jours")),"Vous n'avez pas indiqué de chiffre d'affaires de référence")</f>
        <v>L'entreprise n'a pas une perte d'au moins 50 % en Juillet 2021 ou n'a pas été en fermeture Administrative au moins 10 Jours</v>
      </c>
      <c r="E558" s="509"/>
      <c r="F558" s="509"/>
      <c r="G558" s="509"/>
      <c r="H558" s="509"/>
      <c r="I558" s="509"/>
      <c r="J558" s="509"/>
      <c r="K558" s="509"/>
      <c r="L558" s="509"/>
      <c r="M558" s="509"/>
      <c r="N558" s="509"/>
      <c r="O558" s="510"/>
      <c r="P558" s="1"/>
      <c r="T558" s="14"/>
      <c r="U558" s="1"/>
      <c r="V558" s="1"/>
      <c r="W558" s="1"/>
      <c r="X558" s="1"/>
      <c r="Y558" s="1"/>
      <c r="Z558" s="1"/>
      <c r="AA558" s="1"/>
      <c r="AB558" s="1"/>
      <c r="AC558" s="1"/>
      <c r="AD558" s="1"/>
      <c r="AE558" s="13"/>
    </row>
    <row r="559" spans="2:31" ht="15.75" customHeight="1">
      <c r="B559" s="168"/>
      <c r="C559" s="387"/>
      <c r="D559" s="511"/>
      <c r="E559" s="512"/>
      <c r="F559" s="512"/>
      <c r="G559" s="512"/>
      <c r="H559" s="512"/>
      <c r="I559" s="512"/>
      <c r="J559" s="512"/>
      <c r="K559" s="512"/>
      <c r="L559" s="512"/>
      <c r="M559" s="512"/>
      <c r="N559" s="512"/>
      <c r="O559" s="513"/>
      <c r="P559" s="1"/>
      <c r="T559" s="14"/>
      <c r="U559" s="1"/>
      <c r="V559" s="1"/>
      <c r="W559" s="1"/>
      <c r="X559" s="1"/>
      <c r="Y559" s="1"/>
      <c r="Z559" s="1"/>
      <c r="AA559" s="1"/>
      <c r="AB559" s="1"/>
      <c r="AC559" s="1"/>
      <c r="AD559" s="1"/>
      <c r="AE559" s="13"/>
    </row>
    <row r="560" spans="2:31" ht="15.75" customHeight="1">
      <c r="B560" s="103"/>
      <c r="C560" s="387"/>
      <c r="D560" s="511"/>
      <c r="E560" s="512"/>
      <c r="F560" s="512"/>
      <c r="G560" s="512"/>
      <c r="H560" s="512"/>
      <c r="I560" s="512"/>
      <c r="J560" s="512"/>
      <c r="K560" s="512"/>
      <c r="L560" s="512"/>
      <c r="M560" s="512"/>
      <c r="N560" s="512"/>
      <c r="O560" s="513"/>
      <c r="P560" s="1"/>
      <c r="T560" s="14"/>
      <c r="U560" s="1"/>
      <c r="V560" s="1"/>
      <c r="W560" s="1"/>
      <c r="X560" s="1"/>
      <c r="Y560" s="1"/>
      <c r="Z560" s="1"/>
      <c r="AA560" s="1"/>
      <c r="AB560" s="1"/>
      <c r="AC560" s="1"/>
      <c r="AD560" s="1"/>
      <c r="AE560" s="13"/>
    </row>
    <row r="561" spans="1:31" ht="15.75" customHeight="1" thickBot="1">
      <c r="B561" s="103"/>
      <c r="C561" s="387"/>
      <c r="D561" s="514"/>
      <c r="E561" s="515"/>
      <c r="F561" s="515"/>
      <c r="G561" s="515"/>
      <c r="H561" s="515"/>
      <c r="I561" s="515"/>
      <c r="J561" s="515"/>
      <c r="K561" s="515"/>
      <c r="L561" s="515"/>
      <c r="M561" s="515"/>
      <c r="N561" s="515"/>
      <c r="O561" s="516"/>
      <c r="P561" s="1"/>
      <c r="T561" s="14"/>
      <c r="U561" s="1"/>
      <c r="V561" s="1"/>
      <c r="W561" s="1"/>
      <c r="X561" s="1"/>
      <c r="Y561" s="1"/>
      <c r="Z561" s="1"/>
      <c r="AA561" s="1"/>
      <c r="AB561" s="1"/>
      <c r="AC561" s="1"/>
      <c r="AD561" s="1"/>
      <c r="AE561" s="13"/>
    </row>
    <row r="562" spans="1:31" ht="16.5" customHeight="1">
      <c r="B562" s="103"/>
      <c r="C562" s="169"/>
      <c r="D562" s="517"/>
      <c r="E562" s="517"/>
      <c r="F562" s="517"/>
      <c r="G562" s="517"/>
      <c r="H562" s="517"/>
      <c r="I562" s="517"/>
      <c r="J562" s="517"/>
      <c r="K562" s="517"/>
      <c r="L562" s="517"/>
      <c r="M562" s="517"/>
      <c r="N562" s="517"/>
      <c r="O562" s="517"/>
      <c r="P562" s="1"/>
      <c r="T562" s="518" t="s">
        <v>4</v>
      </c>
      <c r="U562" s="519"/>
      <c r="V562" s="519"/>
      <c r="W562" s="519"/>
      <c r="X562" s="519"/>
      <c r="Y562" s="519"/>
      <c r="Z562" s="139"/>
      <c r="AA562" s="145"/>
      <c r="AB562" s="194">
        <f>IFERROR(IF('Mon Entreprise'!K8&gt;=Annexes!Q18,0,1-'Mon Entreprise'!M118/2/AB553),0)</f>
        <v>0</v>
      </c>
      <c r="AC562" s="1"/>
      <c r="AD562" s="1"/>
      <c r="AE562" s="13"/>
    </row>
    <row r="563" spans="1:31" ht="16.5" customHeight="1">
      <c r="B563" s="103"/>
      <c r="C563" s="387"/>
      <c r="D563" s="306"/>
      <c r="E563" s="306"/>
      <c r="F563" s="306"/>
      <c r="G563" s="306"/>
      <c r="H563" s="306"/>
      <c r="I563" s="306"/>
      <c r="J563" s="306"/>
      <c r="K563" s="306"/>
      <c r="L563" s="306"/>
      <c r="M563" s="306"/>
      <c r="N563" s="306"/>
      <c r="O563" s="306"/>
      <c r="P563" s="1"/>
      <c r="T563" s="110"/>
      <c r="U563" s="520" t="s">
        <v>102</v>
      </c>
      <c r="V563" s="520"/>
      <c r="W563" s="520"/>
      <c r="X563" s="520"/>
      <c r="Y563" s="520"/>
      <c r="Z563" s="139"/>
      <c r="AA563" s="145"/>
      <c r="AB563" s="194">
        <f>IFERROR(IF('Mon Entreprise'!K8&gt;Annexes!Q29,0,IF('Mon Entreprise'!K8&gt;Annexes!Q26,1,1-'Mon Entreprise'!M114/AB553)),0)</f>
        <v>0</v>
      </c>
      <c r="AC563" s="1"/>
      <c r="AD563" s="1"/>
      <c r="AE563" s="13"/>
    </row>
    <row r="564" spans="1:31" ht="16.5" customHeight="1">
      <c r="B564" s="103"/>
      <c r="C564" s="505" t="s">
        <v>514</v>
      </c>
      <c r="D564" s="505"/>
      <c r="E564" s="505"/>
      <c r="F564" s="505"/>
      <c r="G564" s="505"/>
      <c r="H564" s="505"/>
      <c r="I564" s="505"/>
      <c r="J564" s="505"/>
      <c r="K564" s="505"/>
      <c r="L564" s="505"/>
      <c r="M564" s="505"/>
      <c r="N564" s="505"/>
      <c r="O564" s="505"/>
      <c r="P564" s="1"/>
      <c r="T564" s="110"/>
      <c r="U564" s="520" t="s">
        <v>109</v>
      </c>
      <c r="V564" s="520"/>
      <c r="W564" s="520"/>
      <c r="X564" s="520"/>
      <c r="Y564" s="520"/>
      <c r="Z564" s="139"/>
      <c r="AA564" s="145"/>
      <c r="AB564" s="194">
        <f>IFERROR(IF(Annexes!O27&gt;'Mon Entreprise'!K8,1-'Mon Entreprise'!M98/'Mon Entreprise'!I98,0),0)</f>
        <v>0</v>
      </c>
      <c r="AC564" s="1"/>
      <c r="AD564" s="1"/>
      <c r="AE564" s="13"/>
    </row>
    <row r="565" spans="1:31" ht="16.5" customHeight="1">
      <c r="B565" s="103"/>
      <c r="C565" s="505"/>
      <c r="D565" s="505"/>
      <c r="E565" s="505"/>
      <c r="F565" s="505"/>
      <c r="G565" s="505"/>
      <c r="H565" s="505"/>
      <c r="I565" s="505"/>
      <c r="J565" s="505"/>
      <c r="K565" s="505"/>
      <c r="L565" s="505"/>
      <c r="M565" s="505"/>
      <c r="N565" s="505"/>
      <c r="O565" s="505"/>
      <c r="P565" s="1"/>
      <c r="T565" s="110"/>
      <c r="U565" s="382"/>
      <c r="V565" s="382"/>
      <c r="W565" s="382"/>
      <c r="X565" s="382"/>
      <c r="Y565" s="382"/>
      <c r="Z565" s="139"/>
      <c r="AA565" s="145"/>
      <c r="AB565" s="194"/>
      <c r="AC565" s="1"/>
      <c r="AD565" s="1"/>
      <c r="AE565" s="13"/>
    </row>
    <row r="566" spans="1:31" ht="16.5" customHeight="1">
      <c r="B566" s="103"/>
      <c r="C566" s="505"/>
      <c r="D566" s="505"/>
      <c r="E566" s="505"/>
      <c r="F566" s="505"/>
      <c r="G566" s="505"/>
      <c r="H566" s="505"/>
      <c r="I566" s="505"/>
      <c r="J566" s="505"/>
      <c r="K566" s="505"/>
      <c r="L566" s="505"/>
      <c r="M566" s="505"/>
      <c r="N566" s="505"/>
      <c r="O566" s="505"/>
      <c r="P566" s="1"/>
      <c r="T566" s="110"/>
      <c r="U566" s="382"/>
      <c r="V566" s="382"/>
      <c r="W566" s="382"/>
      <c r="X566" s="382"/>
      <c r="Y566" s="382"/>
      <c r="Z566" s="139"/>
      <c r="AA566" s="145"/>
      <c r="AB566" s="194"/>
      <c r="AC566" s="1"/>
      <c r="AD566" s="1"/>
      <c r="AE566" s="13"/>
    </row>
    <row r="567" spans="1:31" ht="16.5" customHeight="1">
      <c r="B567" s="103"/>
      <c r="C567" s="505"/>
      <c r="D567" s="505"/>
      <c r="E567" s="505"/>
      <c r="F567" s="505"/>
      <c r="G567" s="505"/>
      <c r="H567" s="505"/>
      <c r="I567" s="505"/>
      <c r="J567" s="505"/>
      <c r="K567" s="505"/>
      <c r="L567" s="505"/>
      <c r="M567" s="505"/>
      <c r="N567" s="505"/>
      <c r="O567" s="505"/>
      <c r="P567" s="1"/>
      <c r="T567" s="14"/>
      <c r="U567" s="521" t="s">
        <v>8</v>
      </c>
      <c r="V567" s="521"/>
      <c r="W567" s="521"/>
      <c r="X567" s="521"/>
      <c r="Y567" s="521"/>
      <c r="Z567" s="1"/>
      <c r="AA567" s="14"/>
      <c r="AB567" s="381" t="str">
        <f>IF((AND(Annexes!F5&gt;1,Annexes!F5&lt;=Annexes!H6,AB574&gt;=0.1)),"OUI","NON")</f>
        <v>NON</v>
      </c>
      <c r="AC567" s="1"/>
      <c r="AD567" s="1"/>
      <c r="AE567" s="13"/>
    </row>
    <row r="568" spans="1:31" ht="27" customHeight="1">
      <c r="B568" s="103"/>
      <c r="C568" s="352"/>
      <c r="D568" s="564" t="s">
        <v>513</v>
      </c>
      <c r="E568" s="564"/>
      <c r="F568" s="564"/>
      <c r="G568" s="564"/>
      <c r="H568" s="564"/>
      <c r="I568" s="564"/>
      <c r="J568" s="564"/>
      <c r="K568" s="564"/>
      <c r="L568" s="564"/>
      <c r="M568" s="564"/>
      <c r="N568" s="564"/>
      <c r="O568" s="564"/>
      <c r="P568" s="1"/>
      <c r="T568" s="14"/>
      <c r="U568" s="383"/>
      <c r="V568" s="383"/>
      <c r="W568" s="383"/>
      <c r="X568" s="383"/>
      <c r="Y568" s="383" t="s">
        <v>9</v>
      </c>
      <c r="Z568" s="1"/>
      <c r="AA568" s="14"/>
      <c r="AB568" s="381" t="str">
        <f>IF(AND(Annexes!F7&gt;1,Annexes!F7&lt;=Annexes!H8,AB574&gt;=0.1),"OUI","NON")</f>
        <v>NON</v>
      </c>
      <c r="AC568" s="1"/>
      <c r="AD568" s="1"/>
      <c r="AE568" s="13"/>
    </row>
    <row r="569" spans="1:31" ht="16.5" customHeight="1">
      <c r="B569" s="103"/>
      <c r="C569" s="387"/>
      <c r="D569" s="306"/>
      <c r="E569" s="522" t="str">
        <f>IF(AB572="NON","",IF(OR(AB567="OUI",AB569="OUI",AND(AB568="OUI",OR(AB562&gt;=Annexes!P5,AB563&gt;=Annexes!P5,'Mes Aides'!AB145&gt;=0.1))),"",IF(AND(AB568="OUI",OR(AB562&lt;Annexes!P5,AB563&lt;Annexes!P5,'Mes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569" s="522"/>
      <c r="G569" s="522"/>
      <c r="H569" s="522"/>
      <c r="I569" s="522"/>
      <c r="J569" s="522"/>
      <c r="K569" s="522"/>
      <c r="L569" s="522"/>
      <c r="M569" s="522"/>
      <c r="N569" s="522"/>
      <c r="O569" s="522"/>
      <c r="P569" s="1"/>
      <c r="T569" s="491" t="s">
        <v>474</v>
      </c>
      <c r="U569" s="490"/>
      <c r="V569" s="490"/>
      <c r="W569" s="490"/>
      <c r="X569" s="490"/>
      <c r="Y569" s="490"/>
      <c r="Z569" s="1"/>
      <c r="AA569" s="14"/>
      <c r="AB569" s="381" t="str">
        <f>IF(AND(Annexes!M24=TRUE,AB574&gt;=0.1),"OUI","NON")</f>
        <v>NON</v>
      </c>
      <c r="AC569" s="1"/>
      <c r="AD569" s="1"/>
      <c r="AE569" s="13"/>
    </row>
    <row r="570" spans="1:31" ht="16.5" customHeight="1">
      <c r="B570" s="103"/>
      <c r="C570" s="387"/>
      <c r="D570" s="306"/>
      <c r="E570" s="522"/>
      <c r="F570" s="522"/>
      <c r="G570" s="522"/>
      <c r="H570" s="522"/>
      <c r="I570" s="522"/>
      <c r="J570" s="522"/>
      <c r="K570" s="522"/>
      <c r="L570" s="522"/>
      <c r="M570" s="522"/>
      <c r="N570" s="522"/>
      <c r="O570" s="522"/>
      <c r="P570" s="1"/>
      <c r="T570" s="14"/>
      <c r="U570" s="490" t="s">
        <v>313</v>
      </c>
      <c r="V570" s="490"/>
      <c r="W570" s="490"/>
      <c r="X570" s="490"/>
      <c r="Y570" s="490"/>
      <c r="Z570" s="1"/>
      <c r="AA570" s="14"/>
      <c r="AB570" s="381" t="b">
        <f>IF(AND(Annexes!M38=TRUE,AB574&gt;=0.2),TRUE,FALSE)</f>
        <v>0</v>
      </c>
      <c r="AC570" s="1"/>
      <c r="AD570" s="1"/>
      <c r="AE570" s="13"/>
    </row>
    <row r="571" spans="1:31" ht="16.5" customHeight="1">
      <c r="A571" s="99"/>
      <c r="B571" s="103"/>
      <c r="C571" s="387"/>
      <c r="D571" s="523" t="str">
        <f>IFERROR(IF('Mon Entreprise'!K8&gt;=Annexes!O20,IF(AB540&gt;=AB542,"- Le CA de référence est celui de Juillet 2019, soit une perte de "&amp;ROUND(AB540,0)&amp;" €"&amp;" ==&gt; "&amp;ROUND(AE540*100,0)&amp;" %","- Le CA de référence est celui de la création, soit une perte de "&amp;ROUND(AB542,0)&amp;" €"&amp;" ==&gt; "&amp;ROUND(AE542*100,0)&amp;" %"),IF(AB540&gt;=AB541,"- Le CA de référence est celui de Juillet 2019, soit une perte de "&amp;ROUND(AB540,0)&amp;" €"&amp;" ==&gt; "&amp;ROUND(AE540*100,0)&amp;" %","- Le CA de référence est celui de l'exercice 2019, soit une perte de "&amp;ROUND(AB541,0)&amp;" €"&amp;" ==&gt; "&amp;ROUND(AE541*100,0)&amp;" %")),"")</f>
        <v>- Le CA de référence est celui de Juillet 2019, soit une perte de 0 € ==&gt; 0 %</v>
      </c>
      <c r="E571" s="523"/>
      <c r="F571" s="523"/>
      <c r="G571" s="523"/>
      <c r="H571" s="523"/>
      <c r="I571" s="523"/>
      <c r="J571" s="523"/>
      <c r="K571" s="523"/>
      <c r="L571" s="523"/>
      <c r="M571" s="523"/>
      <c r="N571" s="523"/>
      <c r="O571" s="523"/>
      <c r="P571" s="1"/>
      <c r="T571" s="14"/>
      <c r="U571" s="381"/>
      <c r="V571" s="381"/>
      <c r="W571" s="381"/>
      <c r="X571" s="381"/>
      <c r="Y571" s="381" t="s">
        <v>491</v>
      </c>
      <c r="Z571" s="1"/>
      <c r="AA571" s="14"/>
      <c r="AB571" s="381" t="b">
        <f>IF(AND(Annexes!M39=TRUE,AB574&gt;=0.5),TRUE,FALSE)</f>
        <v>0</v>
      </c>
      <c r="AC571" s="1"/>
      <c r="AD571" s="1"/>
      <c r="AE571" s="13"/>
    </row>
    <row r="572" spans="1:31" ht="16.5" customHeight="1">
      <c r="A572" s="99"/>
      <c r="B572" s="103"/>
      <c r="C572" s="387"/>
      <c r="D572" s="524" t="str">
        <f>IFERROR(IF('Mon Entreprise'!K8&gt;=Annexes!O20,"",IF(AB540&lt;AB541,"A noter qu'il convient de choisir l'option retenue par l'entreprise lors de sa demande au titre du mois Février ou a défaut celui du mois de Mars, Avril, Mai, ou Juin 2021, si le CA de référence était celui de février (...) 2019,"&amp;" il convient de prendre celui de Juillet 2019, soit "&amp;ROUND(AB540,0)&amp;" €"&amp;" ==&gt; "&amp;ROUND(AE540*100,0)&amp;" %","A noter qu'il convient de choisir l'option retenue par l'entreprise lors de sa demande"&amp;" au titre du mois Février  ou a défaut celui du mois de Mars, Avril, Mai, ou Juin 2021, si le CA de référence était celui de l'exercice 2019, il convient de prendre celui de l'exercie 2019, soit une perte de "&amp;ROUND(AB541,0)&amp;" €"&amp;" ==&gt; "&amp;ROUND(AE541*100,0)&amp;" %")),"")</f>
        <v>A noter qu'il convient de choisir l'option retenue par l'entreprise lors de sa demande au titre du mois Février  ou a défaut celui du mois de Mars, Avril, Mai, ou Juin 2021, si le CA de référence était celui de l'exercice 2019, il convient de prendre celui de l'exercie 2019, soit une perte de 0 € ==&gt; 0 %</v>
      </c>
      <c r="E572" s="524"/>
      <c r="F572" s="524"/>
      <c r="G572" s="524"/>
      <c r="H572" s="524"/>
      <c r="I572" s="524"/>
      <c r="J572" s="524"/>
      <c r="K572" s="524"/>
      <c r="L572" s="524"/>
      <c r="M572" s="524"/>
      <c r="N572" s="524"/>
      <c r="O572" s="524"/>
      <c r="P572" s="1"/>
      <c r="T572" s="14"/>
      <c r="U572" s="525" t="s">
        <v>72</v>
      </c>
      <c r="V572" s="525"/>
      <c r="W572" s="525"/>
      <c r="X572" s="525"/>
      <c r="Y572" s="525"/>
      <c r="Z572" s="139"/>
      <c r="AA572" s="145"/>
      <c r="AB572" s="385" t="str">
        <f>IF(AB552="Oui","Oui","Non")</f>
        <v>Oui</v>
      </c>
      <c r="AC572" s="139"/>
      <c r="AD572" s="1"/>
      <c r="AE572" s="13"/>
    </row>
    <row r="573" spans="1:31" ht="16.5" customHeight="1">
      <c r="A573" s="99"/>
      <c r="B573" s="103"/>
      <c r="C573" s="387"/>
      <c r="D573" s="524"/>
      <c r="E573" s="524"/>
      <c r="F573" s="524"/>
      <c r="G573" s="524"/>
      <c r="H573" s="524"/>
      <c r="I573" s="524"/>
      <c r="J573" s="524"/>
      <c r="K573" s="524"/>
      <c r="L573" s="524"/>
      <c r="M573" s="524"/>
      <c r="N573" s="524"/>
      <c r="O573" s="524"/>
      <c r="P573" s="1"/>
      <c r="T573" s="14"/>
      <c r="U573" s="525" t="s">
        <v>84</v>
      </c>
      <c r="V573" s="525"/>
      <c r="W573" s="525"/>
      <c r="X573" s="525"/>
      <c r="Y573" s="525"/>
      <c r="Z573" s="139"/>
      <c r="AA573" s="145"/>
      <c r="AB573" s="385">
        <f>IF('Mon Entreprise'!K8&gt;=Annexes!O20,IF(AB540&gt;=AB542,AB540,AB542),IF(AB540&gt;=AB541,AB540,AB541))</f>
        <v>0</v>
      </c>
      <c r="AC573" s="139"/>
      <c r="AD573" s="1"/>
      <c r="AE573" s="13"/>
    </row>
    <row r="574" spans="1:31" ht="16.5" customHeight="1">
      <c r="B574" s="103"/>
      <c r="C574" s="387"/>
      <c r="D574" s="215"/>
      <c r="E574" s="377"/>
      <c r="F574" s="377"/>
      <c r="G574" s="377"/>
      <c r="H574" s="377"/>
      <c r="I574" s="377"/>
      <c r="J574" s="377"/>
      <c r="K574" s="377"/>
      <c r="L574" s="377"/>
      <c r="M574" s="377"/>
      <c r="N574" s="377"/>
      <c r="O574" s="377"/>
      <c r="P574" s="1"/>
      <c r="T574" s="14"/>
      <c r="U574" s="525" t="s">
        <v>85</v>
      </c>
      <c r="V574" s="525"/>
      <c r="W574" s="525"/>
      <c r="X574" s="525"/>
      <c r="Y574" s="525"/>
      <c r="Z574" s="139"/>
      <c r="AA574" s="145"/>
      <c r="AB574" s="385">
        <f>IF('Mon Entreprise'!K8&gt;=Annexes!O20,IF(AB540&gt;=AB542,AE540,AE542),IF(AB540&gt;=AB541,AE540,AE541))</f>
        <v>0</v>
      </c>
      <c r="AC574" s="139"/>
      <c r="AD574" s="1"/>
      <c r="AE574" s="13"/>
    </row>
    <row r="575" spans="1:31" ht="16.5" customHeight="1" thickBot="1">
      <c r="B575" s="103"/>
      <c r="C575" s="387"/>
      <c r="D575" s="377"/>
      <c r="E575" s="377"/>
      <c r="F575" s="377"/>
      <c r="G575" s="377"/>
      <c r="H575" s="377"/>
      <c r="I575" s="377"/>
      <c r="J575" s="377"/>
      <c r="K575" s="377"/>
      <c r="L575" s="377"/>
      <c r="M575" s="377"/>
      <c r="N575" s="377"/>
      <c r="O575" s="377"/>
      <c r="P575" s="1"/>
      <c r="T575" s="14"/>
      <c r="U575" s="502" t="s">
        <v>74</v>
      </c>
      <c r="V575" s="502"/>
      <c r="W575" s="502"/>
      <c r="X575" s="502"/>
      <c r="Y575" s="502"/>
      <c r="Z575" s="139"/>
      <c r="AA575" s="145"/>
      <c r="AB575" s="385">
        <v>1</v>
      </c>
      <c r="AC575" s="139"/>
      <c r="AD575" s="1"/>
      <c r="AE575" s="13"/>
    </row>
    <row r="576" spans="1:31" ht="16.5" customHeight="1">
      <c r="B576" s="103"/>
      <c r="C576" s="387"/>
      <c r="D576" s="527" t="str">
        <f>IFERROR(IF(AB572="NON","Vous avez débuté votre activité après le 31 Janvier 2020, vous ne pouvez donc pas bénéficier de cette aide",IF(OR(AB567="OUI",AB569="OUI",AND(AB568="OUI",OR(AB562&lt;Annexes!P5,AB563&lt;Annexes!P5,'Mes Aides'!AB198&lt;0.1))),IF(AND(0.3*AB577&gt;Annexes!O8,0.2*AB576&gt;Annexes!O8),"Dans votre cas, l'aide est plafonnée, à "&amp;Annexes!O8&amp;" € pour le mois de Juillet",IF(0.3*AB577&gt;=0.2*AB576,"Dans votre cas, 30 % de la perte est supérieur à 20 % du CA, l'aide est donc plafonnée à 20 % du CA, soit "&amp;ROUND(0.2*AB576,0)&amp;" € pour le mois de Juillet","Dans votre cas, 30% de la perte est inférieure à 20 % du CA, l'aide est donc plafonnée à 30 % de la perte, soit "&amp;ROUND(0.3*AB577,0)&amp;" € pour le mois de Juillet")),"Vous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576" s="509"/>
      <c r="F576" s="509"/>
      <c r="G576" s="509"/>
      <c r="H576" s="509"/>
      <c r="I576" s="509"/>
      <c r="J576" s="509"/>
      <c r="K576" s="509"/>
      <c r="L576" s="509"/>
      <c r="M576" s="509"/>
      <c r="N576" s="509"/>
      <c r="O576" s="510"/>
      <c r="P576" s="1"/>
      <c r="T576" s="14"/>
      <c r="U576" s="502" t="s">
        <v>80</v>
      </c>
      <c r="V576" s="502"/>
      <c r="W576" s="502"/>
      <c r="X576" s="502"/>
      <c r="Y576" s="502"/>
      <c r="Z576" s="139"/>
      <c r="AA576" s="145"/>
      <c r="AB576" s="385">
        <f>IF('Mon Entreprise'!K8&gt;=Annexes!O20,IF(AB540&gt;=AB542,Y540,Y542),IF(AB540&gt;=AB541,Y540,Y541))</f>
        <v>0</v>
      </c>
      <c r="AC576" s="139"/>
      <c r="AD576" s="1"/>
      <c r="AE576" s="13"/>
    </row>
    <row r="577" spans="2:31" ht="16.5" customHeight="1">
      <c r="B577" s="173"/>
      <c r="C577" s="387"/>
      <c r="D577" s="511"/>
      <c r="E577" s="512"/>
      <c r="F577" s="512"/>
      <c r="G577" s="512"/>
      <c r="H577" s="512"/>
      <c r="I577" s="512"/>
      <c r="J577" s="512"/>
      <c r="K577" s="512"/>
      <c r="L577" s="512"/>
      <c r="M577" s="512"/>
      <c r="N577" s="512"/>
      <c r="O577" s="513"/>
      <c r="P577" s="1"/>
      <c r="T577" s="14"/>
      <c r="U577" s="490" t="s">
        <v>104</v>
      </c>
      <c r="V577" s="490"/>
      <c r="W577" s="490"/>
      <c r="X577" s="490"/>
      <c r="Y577" s="490"/>
      <c r="Z577" s="1"/>
      <c r="AA577" s="14"/>
      <c r="AB577" s="381">
        <f>IF(AB575=1,AB573,IF(AB573*AB575&gt;1500,IF(AB573&gt;1500,AB573*AB575,"Impossible"),IF(AB573&lt;1500,AB573,1500)))</f>
        <v>0</v>
      </c>
      <c r="AC577" s="1"/>
      <c r="AD577" s="1"/>
      <c r="AE577" s="13"/>
    </row>
    <row r="578" spans="2:31" ht="16.5" customHeight="1">
      <c r="B578" s="103"/>
      <c r="C578" s="387"/>
      <c r="D578" s="511"/>
      <c r="E578" s="512"/>
      <c r="F578" s="512"/>
      <c r="G578" s="512"/>
      <c r="H578" s="512"/>
      <c r="I578" s="512"/>
      <c r="J578" s="512"/>
      <c r="K578" s="512"/>
      <c r="L578" s="512"/>
      <c r="M578" s="512"/>
      <c r="N578" s="512"/>
      <c r="O578" s="513"/>
      <c r="P578" s="1"/>
      <c r="T578" s="14"/>
      <c r="U578" s="381"/>
      <c r="V578" s="381"/>
      <c r="W578" s="381"/>
      <c r="X578" s="381"/>
      <c r="Y578" s="381"/>
      <c r="Z578" s="1"/>
      <c r="AA578" s="1"/>
      <c r="AB578" s="1"/>
      <c r="AC578" s="1"/>
      <c r="AD578" s="1"/>
      <c r="AE578" s="13"/>
    </row>
    <row r="579" spans="2:31" ht="16.5" customHeight="1" thickBot="1">
      <c r="B579" s="103"/>
      <c r="C579" s="387"/>
      <c r="D579" s="514"/>
      <c r="E579" s="515"/>
      <c r="F579" s="515"/>
      <c r="G579" s="515"/>
      <c r="H579" s="515"/>
      <c r="I579" s="515"/>
      <c r="J579" s="515"/>
      <c r="K579" s="515"/>
      <c r="L579" s="515"/>
      <c r="M579" s="515"/>
      <c r="N579" s="515"/>
      <c r="O579" s="516"/>
      <c r="P579" s="1"/>
      <c r="T579" s="14"/>
      <c r="U579" s="490"/>
      <c r="V579" s="490"/>
      <c r="W579" s="490"/>
      <c r="X579" s="490"/>
      <c r="Y579" s="490"/>
      <c r="Z579" s="1"/>
      <c r="AA579" s="1"/>
      <c r="AB579" s="1"/>
      <c r="AC579" s="1"/>
      <c r="AD579" s="1"/>
      <c r="AE579" s="13"/>
    </row>
    <row r="580" spans="2:31" ht="16.5" customHeight="1">
      <c r="B580" s="103"/>
      <c r="C580" s="169"/>
      <c r="D580" s="174"/>
      <c r="E580" s="174"/>
      <c r="F580" s="174"/>
      <c r="G580" s="174"/>
      <c r="H580" s="174"/>
      <c r="I580" s="174"/>
      <c r="J580" s="174"/>
      <c r="K580" s="174"/>
      <c r="L580" s="174"/>
      <c r="M580" s="174"/>
      <c r="N580" s="174"/>
      <c r="O580" s="174"/>
      <c r="P580" s="1"/>
      <c r="T580" s="14"/>
      <c r="U580" s="381"/>
      <c r="V580" s="381"/>
      <c r="W580" s="381"/>
      <c r="X580" s="381"/>
      <c r="Y580" s="381"/>
      <c r="Z580" s="1"/>
      <c r="AA580" s="1"/>
      <c r="AB580" s="1"/>
      <c r="AC580" s="1"/>
      <c r="AD580" s="1"/>
      <c r="AE580" s="13"/>
    </row>
    <row r="581" spans="2:31" ht="16.5" customHeight="1">
      <c r="B581" s="103"/>
      <c r="C581" s="387"/>
      <c r="D581" s="377"/>
      <c r="E581" s="377"/>
      <c r="F581" s="377"/>
      <c r="G581" s="377"/>
      <c r="H581" s="377"/>
      <c r="I581" s="377"/>
      <c r="J581" s="377"/>
      <c r="K581" s="377"/>
      <c r="L581" s="377"/>
      <c r="M581" s="377"/>
      <c r="N581" s="377"/>
      <c r="O581" s="377"/>
      <c r="P581" s="1"/>
      <c r="T581" s="14"/>
      <c r="U581" s="1"/>
      <c r="V581" s="1"/>
      <c r="W581" s="1"/>
      <c r="X581" s="1"/>
      <c r="Y581" s="1"/>
      <c r="Z581" s="1"/>
      <c r="AA581" s="1"/>
      <c r="AB581" s="1"/>
      <c r="AC581" s="1"/>
      <c r="AD581" s="1"/>
      <c r="AE581" s="13"/>
    </row>
    <row r="582" spans="2:31" ht="16.5" customHeight="1">
      <c r="B582" s="103"/>
      <c r="C582" s="529" t="s">
        <v>479</v>
      </c>
      <c r="D582" s="529"/>
      <c r="E582" s="529"/>
      <c r="F582" s="529"/>
      <c r="G582" s="529"/>
      <c r="H582" s="529"/>
      <c r="I582" s="529"/>
      <c r="J582" s="529"/>
      <c r="K582" s="529"/>
      <c r="L582" s="529"/>
      <c r="M582" s="529"/>
      <c r="N582" s="529"/>
      <c r="O582" s="529"/>
      <c r="P582" s="1"/>
      <c r="T582" s="14"/>
      <c r="U582" s="1"/>
      <c r="V582" s="1"/>
      <c r="W582" s="1"/>
      <c r="X582" s="1"/>
      <c r="Y582" s="1"/>
      <c r="Z582" s="1"/>
      <c r="AA582" s="1"/>
      <c r="AB582" s="1"/>
      <c r="AC582" s="1"/>
      <c r="AD582" s="1"/>
      <c r="AE582" s="13"/>
    </row>
    <row r="583" spans="2:31" ht="16.5" customHeight="1">
      <c r="B583" s="173"/>
      <c r="C583" s="387"/>
      <c r="D583" s="306"/>
      <c r="E583" s="528" t="str">
        <f>IF(AB572="NON","",IF(AB570=TRUE,"","L'entreprise n'a pas été en fermeture administrative sur le mois avec une perte de 20 % de CA"))</f>
        <v>L'entreprise n'a pas été en fermeture administrative sur le mois avec une perte de 20 % de CA</v>
      </c>
      <c r="F583" s="528"/>
      <c r="G583" s="528"/>
      <c r="H583" s="528"/>
      <c r="I583" s="528"/>
      <c r="J583" s="528"/>
      <c r="K583" s="528"/>
      <c r="L583" s="528"/>
      <c r="M583" s="528"/>
      <c r="N583" s="528"/>
      <c r="O583" s="528"/>
      <c r="P583" s="1"/>
      <c r="T583" s="14"/>
      <c r="U583" s="502" t="s">
        <v>82</v>
      </c>
      <c r="V583" s="502"/>
      <c r="W583" s="502"/>
      <c r="X583" s="502"/>
      <c r="Y583" s="502"/>
      <c r="Z583" s="68"/>
      <c r="AA583" s="1"/>
      <c r="AB583" s="1">
        <f>IFERROR(IF(AB552="Non",0,IF(AND(AB571=TRUE,AB555&gt;=0.5),IF(AB554&gt;Annexes!O5,Annexes!O5,ROUND(AB554,0)),0)),0)</f>
        <v>0</v>
      </c>
      <c r="AC583" s="1"/>
      <c r="AD583" s="1"/>
      <c r="AE583" s="13"/>
    </row>
    <row r="584" spans="2:31" ht="15" customHeight="1">
      <c r="B584" s="173"/>
      <c r="C584" s="387"/>
      <c r="D584" s="306"/>
      <c r="E584" s="528"/>
      <c r="F584" s="528"/>
      <c r="G584" s="528"/>
      <c r="H584" s="528"/>
      <c r="I584" s="528"/>
      <c r="J584" s="528"/>
      <c r="K584" s="528"/>
      <c r="L584" s="528"/>
      <c r="M584" s="528"/>
      <c r="N584" s="528"/>
      <c r="O584" s="528"/>
      <c r="P584" s="1"/>
      <c r="T584" s="14"/>
      <c r="U584" s="502" t="s">
        <v>504</v>
      </c>
      <c r="V584" s="502"/>
      <c r="W584" s="502"/>
      <c r="X584" s="502"/>
      <c r="Y584" s="502"/>
      <c r="Z584" s="68"/>
      <c r="AA584" s="1"/>
      <c r="AB584" s="1">
        <f>IFERROR(IF(AB572="NON",0,IF(OR(AB567="OUI",AB569="OUI",AND(AB568="OUI",OR(AB562&lt;Annexes!P5,AB563&lt;Annexes!P5,'Mes Aides'!AB198&lt;0.1))),IF(AND(0.3*AB577,0.2*AB576)&lt;Annexes!O8,Annexes!O8,IF(0.3*AB577&gt;=0.2*AB576,ROUND(0.2*AB576,0),ROUND(0.3*AB577,0))),0)),0)</f>
        <v>0</v>
      </c>
      <c r="AC584" s="1"/>
      <c r="AD584" s="1"/>
      <c r="AE584" s="13"/>
    </row>
    <row r="585" spans="2:31" ht="15" customHeight="1">
      <c r="B585" s="173"/>
      <c r="C585" s="387"/>
      <c r="D585" s="306"/>
      <c r="E585" s="353"/>
      <c r="F585" s="353"/>
      <c r="G585" s="353"/>
      <c r="H585" s="353"/>
      <c r="I585" s="353"/>
      <c r="J585" s="353"/>
      <c r="K585" s="353"/>
      <c r="L585" s="353"/>
      <c r="M585" s="353"/>
      <c r="N585" s="353"/>
      <c r="O585" s="353"/>
      <c r="P585" s="1"/>
      <c r="T585" s="14"/>
      <c r="U585" s="502" t="s">
        <v>478</v>
      </c>
      <c r="V585" s="502"/>
      <c r="W585" s="502"/>
      <c r="X585" s="502"/>
      <c r="Y585" s="502"/>
      <c r="Z585" s="68"/>
      <c r="AA585" s="1"/>
      <c r="AB585" s="1">
        <f>IFERROR(IF(AB572="NON",0,IF(AB570=TRUE,IF(AB576*0.2&gt;Annexes!O8,Annexes!O8,ROUND(AB576*0.2,0)),0)),0)</f>
        <v>0</v>
      </c>
      <c r="AC585" s="1"/>
      <c r="AD585" s="1"/>
      <c r="AE585" s="13"/>
    </row>
    <row r="586" spans="2:31" ht="16.5" customHeight="1">
      <c r="B586" s="173"/>
      <c r="C586" s="387"/>
      <c r="D586" s="417" t="str">
        <f>IFERROR(IF('Mon Entreprise'!K8&gt;=Annexes!O20,IF(AB540&gt;=AB542,"- Le CA de référence est celui de Juillet 2019, soit une perte de "&amp;ROUND(AB540,0)&amp;" €"&amp;" ==&gt; "&amp;ROUND(AE540*100,0)&amp;" %","- Le CA de référence est celui de la création, soit une perte de "&amp;ROUND(AB542,0)&amp;" €"&amp;" ==&gt; "&amp;ROUND(AE542*100,0)&amp;" %"),IF(AB540&gt;=AB541,"- Le CA de référence est celui de Juillet 2019, soit une perte de "&amp;ROUND(AB540,0)&amp;" €"&amp;" ==&gt; "&amp;ROUND(AE540*100,0)&amp;" %","- Le CA de référence est celui de l'exercice 2019, soit une perte de "&amp;ROUND(AB541,0)&amp;" €"&amp;" ==&gt; "&amp;ROUND(AE541*100,0)&amp;" %")),"")</f>
        <v>- Le CA de référence est celui de Juillet 2019, soit une perte de 0 € ==&gt; 0 %</v>
      </c>
      <c r="E586" s="417"/>
      <c r="F586" s="417"/>
      <c r="G586" s="417"/>
      <c r="H586" s="417"/>
      <c r="I586" s="417"/>
      <c r="J586" s="417"/>
      <c r="K586" s="417"/>
      <c r="L586" s="417"/>
      <c r="M586" s="417"/>
      <c r="N586" s="417"/>
      <c r="O586" s="417"/>
      <c r="P586" s="377"/>
      <c r="Q586" s="377"/>
      <c r="T586" s="14"/>
      <c r="U586" s="1"/>
      <c r="V586" s="1"/>
      <c r="W586" s="1"/>
      <c r="X586" s="1"/>
      <c r="Y586" s="1"/>
      <c r="Z586" s="1"/>
      <c r="AA586" s="1"/>
      <c r="AB586" s="1"/>
      <c r="AC586" s="1"/>
      <c r="AD586" s="1"/>
      <c r="AE586" s="13"/>
    </row>
    <row r="587" spans="2:31" ht="16.5" customHeight="1">
      <c r="B587" s="173"/>
      <c r="C587" s="387"/>
      <c r="D587" s="524" t="str">
        <f>IFERROR(IF('Mon Entreprise'!K8&gt;=Annexes!O20,"",IF(AB540&lt;AB541,"A noter qu'il convient de choisir l'option retenue par l'entreprise lors de sa demande au titre du mois Février ou a défaut celui du mois de Mars, Avril, Mai, ou Juin 2021, si le CA de référence était celui de février (...) 2019, il convient"&amp;" de prendre celui de Juillet 2019 (...), soit "&amp;ROUND(AB540,0)&amp;" €"&amp;" ==&gt; "&amp;ROUND(AE540*100,0)&amp;" %","A noter qu'il convient de choisir l'option retenue par l'entreprise lors de sa demande au titre du mois Février "&amp;"ou a défaut celui du mois de Mars, d'Avril, Mai, ou Juin 2021, si le CA de référence était celui de l'exercice 2019, il convient de prendre celui de l'exercie 2019, soit une perte de "&amp;ROUND(AB541,0)&amp;" €"&amp;" ==&gt; "&amp;ROUND(AE541*100,0)&amp;" %")),"")</f>
        <v>A noter qu'il convient de choisir l'option retenue par l'entreprise lors de sa demande au titre du mois Février ou a défaut celui du mois de Mars, d'Avril, Mai, ou Juin 2021, si le CA de référence était celui de l'exercice 2019, il convient de prendre celui de l'exercie 2019, soit une perte de 0 € ==&gt; 0 %</v>
      </c>
      <c r="E587" s="524"/>
      <c r="F587" s="524"/>
      <c r="G587" s="524"/>
      <c r="H587" s="524"/>
      <c r="I587" s="524"/>
      <c r="J587" s="524"/>
      <c r="K587" s="524"/>
      <c r="L587" s="524"/>
      <c r="M587" s="524"/>
      <c r="N587" s="524"/>
      <c r="O587" s="524"/>
      <c r="P587" s="377"/>
      <c r="Q587" s="377"/>
      <c r="T587" s="14"/>
      <c r="U587" s="1"/>
      <c r="V587" s="1"/>
      <c r="W587" s="1"/>
      <c r="X587" s="1"/>
      <c r="Y587" s="1"/>
      <c r="Z587" s="1"/>
      <c r="AA587" s="1"/>
      <c r="AB587" s="1"/>
      <c r="AC587" s="1"/>
      <c r="AD587" s="1"/>
      <c r="AE587" s="13"/>
    </row>
    <row r="588" spans="2:31" ht="16.5" customHeight="1">
      <c r="B588" s="173"/>
      <c r="C588" s="387"/>
      <c r="D588" s="524"/>
      <c r="E588" s="524"/>
      <c r="F588" s="524"/>
      <c r="G588" s="524"/>
      <c r="H588" s="524"/>
      <c r="I588" s="524"/>
      <c r="J588" s="524"/>
      <c r="K588" s="524"/>
      <c r="L588" s="524"/>
      <c r="M588" s="524"/>
      <c r="N588" s="524"/>
      <c r="O588" s="524"/>
      <c r="P588" s="377"/>
      <c r="Q588" s="377"/>
      <c r="T588" s="14"/>
      <c r="U588" s="1"/>
      <c r="V588" s="1"/>
      <c r="W588" s="1"/>
      <c r="X588" s="1"/>
      <c r="Y588" s="1"/>
      <c r="Z588" s="1"/>
      <c r="AA588" s="1"/>
      <c r="AB588" s="1"/>
      <c r="AC588" s="1"/>
      <c r="AD588" s="1"/>
      <c r="AE588" s="13"/>
    </row>
    <row r="589" spans="2:31" ht="16.5" customHeight="1" thickBot="1">
      <c r="B589" s="168"/>
      <c r="C589" s="387"/>
      <c r="D589" s="205"/>
      <c r="E589" s="377"/>
      <c r="F589" s="377"/>
      <c r="G589" s="377"/>
      <c r="H589" s="377"/>
      <c r="I589" s="377"/>
      <c r="J589" s="377"/>
      <c r="K589" s="377"/>
      <c r="L589" s="377"/>
      <c r="M589" s="377"/>
      <c r="N589" s="377"/>
      <c r="O589" s="377"/>
      <c r="P589" s="377"/>
      <c r="Q589" s="377"/>
      <c r="T589" s="14"/>
      <c r="U589" s="1"/>
      <c r="V589" s="1"/>
      <c r="W589" s="1"/>
      <c r="X589" s="1"/>
      <c r="Y589" s="1"/>
      <c r="Z589" s="1"/>
      <c r="AA589" s="1"/>
      <c r="AB589" s="1"/>
      <c r="AC589" s="1"/>
      <c r="AD589" s="1"/>
      <c r="AE589" s="13"/>
    </row>
    <row r="590" spans="2:31" ht="16.5" customHeight="1">
      <c r="B590" s="103"/>
      <c r="C590" s="180"/>
      <c r="D590" s="526" t="str">
        <f>IFERROR(IF(AB572="NON","Vous avez débuté votre activité après le 31 Janvier 2020, vous ne pouvez donc pas bénéficier de cette aide",IF(AB570=TRUE,IF(AB576*0.2&gt;Annexes!O8,"Dans votre cas, l'aide est plafonnée, à "&amp;Annexes!O8&amp;" € pour le mois de Juillet","Dans votre cas, l'aide est plafonnée à 20 % du CA, soit "&amp;ROUND(AB576*0.2,0)&amp;" € pour le mois de Juillet"),"Vous ne faites pas partie des entreprises en fermeture Administrative avec 20 % de perte de CA")),"Vous n'avez pas indiqué de chiffre d'affaires de référence")</f>
        <v>Vous ne faites pas partie des entreprises en fermeture Administrative avec 20 % de perte de CA</v>
      </c>
      <c r="E590" s="509"/>
      <c r="F590" s="509"/>
      <c r="G590" s="509"/>
      <c r="H590" s="509"/>
      <c r="I590" s="509"/>
      <c r="J590" s="509"/>
      <c r="K590" s="509"/>
      <c r="L590" s="509"/>
      <c r="M590" s="509"/>
      <c r="N590" s="509"/>
      <c r="O590" s="510"/>
      <c r="P590" s="377"/>
      <c r="Q590" s="377"/>
      <c r="T590" s="14"/>
      <c r="U590" s="1"/>
      <c r="V590" s="1"/>
      <c r="W590" s="1"/>
      <c r="X590" s="1"/>
      <c r="Y590" s="1"/>
      <c r="Z590" s="1"/>
      <c r="AA590" s="1"/>
      <c r="AB590" s="1"/>
      <c r="AC590" s="1"/>
      <c r="AD590" s="1"/>
      <c r="AE590" s="13"/>
    </row>
    <row r="591" spans="2:31" ht="16.5" customHeight="1">
      <c r="B591" s="103"/>
      <c r="C591" s="180"/>
      <c r="D591" s="511"/>
      <c r="E591" s="512"/>
      <c r="F591" s="512"/>
      <c r="G591" s="512"/>
      <c r="H591" s="512"/>
      <c r="I591" s="512"/>
      <c r="J591" s="512"/>
      <c r="K591" s="512"/>
      <c r="L591" s="512"/>
      <c r="M591" s="512"/>
      <c r="N591" s="512"/>
      <c r="O591" s="513"/>
      <c r="P591" s="377"/>
      <c r="Q591" s="377"/>
      <c r="T591" s="14"/>
      <c r="U591" s="1"/>
      <c r="V591" s="1"/>
      <c r="W591" s="1"/>
      <c r="X591" s="1"/>
      <c r="Y591" s="1"/>
      <c r="Z591" s="1"/>
      <c r="AA591" s="1"/>
      <c r="AB591" s="1"/>
      <c r="AC591" s="1"/>
      <c r="AD591" s="1"/>
      <c r="AE591" s="13"/>
    </row>
    <row r="592" spans="2:31" ht="16.5" customHeight="1">
      <c r="B592" s="103"/>
      <c r="C592" s="180"/>
      <c r="D592" s="511"/>
      <c r="E592" s="512"/>
      <c r="F592" s="512"/>
      <c r="G592" s="512"/>
      <c r="H592" s="512"/>
      <c r="I592" s="512"/>
      <c r="J592" s="512"/>
      <c r="K592" s="512"/>
      <c r="L592" s="512"/>
      <c r="M592" s="512"/>
      <c r="N592" s="512"/>
      <c r="O592" s="513"/>
      <c r="P592" s="175"/>
      <c r="Q592" s="175"/>
      <c r="T592" s="14"/>
      <c r="U592" s="1"/>
      <c r="V592" s="1"/>
      <c r="W592" s="1"/>
      <c r="X592" s="1"/>
      <c r="Y592" s="1"/>
      <c r="Z592" s="1"/>
      <c r="AA592" s="1"/>
      <c r="AB592" s="1"/>
      <c r="AC592" s="1"/>
      <c r="AD592" s="1"/>
      <c r="AE592" s="13"/>
    </row>
    <row r="593" spans="2:31" ht="16.5" customHeight="1" thickBot="1">
      <c r="B593" s="103"/>
      <c r="C593" s="180"/>
      <c r="D593" s="514"/>
      <c r="E593" s="515"/>
      <c r="F593" s="515"/>
      <c r="G593" s="515"/>
      <c r="H593" s="515"/>
      <c r="I593" s="515"/>
      <c r="J593" s="515"/>
      <c r="K593" s="515"/>
      <c r="L593" s="515"/>
      <c r="M593" s="515"/>
      <c r="N593" s="515"/>
      <c r="O593" s="516"/>
      <c r="T593" s="14"/>
      <c r="U593" s="1"/>
      <c r="V593" s="1"/>
      <c r="W593" s="1"/>
      <c r="X593" s="1"/>
      <c r="Y593" s="1"/>
      <c r="Z593" s="1"/>
      <c r="AA593" s="1"/>
      <c r="AB593" s="1"/>
      <c r="AC593" s="1"/>
      <c r="AD593" s="1"/>
      <c r="AE593" s="13"/>
    </row>
    <row r="594" spans="2:31" ht="16.5" customHeight="1">
      <c r="B594" s="5"/>
      <c r="C594" s="5"/>
      <c r="D594" s="354"/>
      <c r="E594" s="354"/>
      <c r="F594" s="354"/>
      <c r="G594" s="354"/>
      <c r="H594" s="354"/>
      <c r="I594" s="354"/>
      <c r="J594" s="354"/>
      <c r="K594" s="354"/>
      <c r="L594" s="354"/>
      <c r="M594" s="354"/>
      <c r="N594" s="354"/>
      <c r="O594" s="354"/>
      <c r="P594" s="177"/>
      <c r="Q594" s="177"/>
      <c r="T594" s="14"/>
      <c r="U594" s="1"/>
      <c r="V594" s="1"/>
      <c r="W594" s="1"/>
      <c r="X594" s="1"/>
      <c r="Y594" s="1"/>
      <c r="Z594" s="1"/>
      <c r="AA594" s="1"/>
      <c r="AB594" s="1"/>
      <c r="AC594" s="1"/>
      <c r="AD594" s="1"/>
      <c r="AE594" s="13"/>
    </row>
    <row r="595" spans="2:31">
      <c r="B595" s="5"/>
      <c r="C595" s="5"/>
      <c r="D595" s="355"/>
      <c r="E595" s="355"/>
      <c r="F595" s="355"/>
      <c r="G595" s="355"/>
      <c r="H595" s="355"/>
      <c r="I595" s="355"/>
      <c r="J595" s="355"/>
      <c r="K595" s="355"/>
      <c r="L595" s="355"/>
      <c r="M595" s="355"/>
      <c r="N595" s="355"/>
      <c r="O595" s="355"/>
      <c r="P595" s="177"/>
      <c r="Q595" s="177"/>
      <c r="T595" s="14"/>
      <c r="U595" s="1"/>
      <c r="V595" s="1"/>
      <c r="W595" s="1"/>
      <c r="X595" s="1"/>
      <c r="Y595" s="1"/>
      <c r="Z595" s="1"/>
      <c r="AA595" s="1"/>
      <c r="AB595" s="1"/>
      <c r="AC595" s="1"/>
      <c r="AD595" s="1"/>
      <c r="AE595" s="13"/>
    </row>
    <row r="596" spans="2:31" ht="16.5" thickBot="1">
      <c r="B596" s="220"/>
      <c r="C596" s="488" t="s">
        <v>496</v>
      </c>
      <c r="D596" s="488"/>
      <c r="E596" s="488"/>
      <c r="F596" s="488"/>
      <c r="G596" s="488"/>
      <c r="H596" s="488"/>
      <c r="I596" s="221"/>
      <c r="J596" s="221"/>
      <c r="K596" s="221"/>
      <c r="L596" s="221"/>
      <c r="M596" s="221"/>
      <c r="N596" s="221"/>
      <c r="O596" s="221"/>
      <c r="T596" s="16"/>
      <c r="U596" s="11"/>
      <c r="V596" s="11"/>
      <c r="W596" s="11"/>
      <c r="X596" s="11"/>
      <c r="Y596" s="11"/>
      <c r="Z596" s="11"/>
      <c r="AA596" s="11"/>
      <c r="AB596" s="11"/>
      <c r="AC596" s="11"/>
      <c r="AD596" s="11"/>
      <c r="AE596" s="12"/>
    </row>
    <row r="597" spans="2:31" ht="15" customHeight="1">
      <c r="B597" s="63"/>
      <c r="C597" s="24"/>
      <c r="D597" s="24"/>
      <c r="E597" s="24"/>
      <c r="F597" s="24"/>
      <c r="G597" s="24"/>
      <c r="H597" s="63"/>
      <c r="I597" s="1"/>
      <c r="J597" s="1"/>
      <c r="K597" s="1"/>
      <c r="L597" s="1"/>
      <c r="M597" s="1"/>
      <c r="N597" s="1"/>
      <c r="O597" s="1"/>
      <c r="T597" s="14"/>
      <c r="U597" s="1"/>
      <c r="V597" s="1"/>
      <c r="W597" s="1"/>
      <c r="X597" s="1"/>
      <c r="Y597" s="1"/>
      <c r="Z597" s="1"/>
      <c r="AA597" s="1"/>
      <c r="AB597" s="1"/>
      <c r="AC597" s="1"/>
      <c r="AD597" s="1"/>
      <c r="AE597" s="13"/>
    </row>
    <row r="598" spans="2:31" ht="15" customHeight="1">
      <c r="B598" s="103"/>
      <c r="C598" s="489" t="s">
        <v>497</v>
      </c>
      <c r="D598" s="489"/>
      <c r="E598" s="489"/>
      <c r="F598" s="489"/>
      <c r="G598" s="489"/>
      <c r="H598" s="489"/>
      <c r="I598" s="489"/>
      <c r="J598" s="489"/>
      <c r="K598" s="489"/>
      <c r="L598" s="489"/>
      <c r="M598" s="489"/>
      <c r="N598" s="489"/>
      <c r="O598" s="489"/>
      <c r="P598" s="1"/>
      <c r="T598" s="25"/>
      <c r="U598" s="490" t="s">
        <v>20</v>
      </c>
      <c r="V598" s="490"/>
      <c r="W598" s="490"/>
      <c r="X598" s="1"/>
      <c r="Y598" s="390" t="s">
        <v>6</v>
      </c>
      <c r="Z598" s="390"/>
      <c r="AA598" s="390"/>
      <c r="AB598" s="390" t="s">
        <v>23</v>
      </c>
      <c r="AC598" s="390"/>
      <c r="AD598" s="390"/>
      <c r="AE598" s="26" t="s">
        <v>24</v>
      </c>
    </row>
    <row r="599" spans="2:31" ht="15.75" customHeight="1">
      <c r="B599" s="103"/>
      <c r="C599" s="387"/>
      <c r="D599" s="60" t="s">
        <v>435</v>
      </c>
      <c r="E599" s="387"/>
      <c r="F599" s="387"/>
      <c r="G599" s="387"/>
      <c r="H599" s="387"/>
      <c r="I599" s="387"/>
      <c r="J599" s="387"/>
      <c r="K599" s="387"/>
      <c r="L599" s="387"/>
      <c r="M599" s="387"/>
      <c r="N599" s="387"/>
      <c r="O599" s="387"/>
      <c r="P599" s="1"/>
      <c r="T599" s="25"/>
      <c r="U599" s="390"/>
      <c r="V599" s="390"/>
      <c r="W599" s="390"/>
      <c r="X599" s="1"/>
      <c r="Y599" s="390"/>
      <c r="Z599" s="390"/>
      <c r="AA599" s="390"/>
      <c r="AB599" s="390"/>
      <c r="AC599" s="390"/>
      <c r="AD599" s="390"/>
      <c r="AE599" s="26"/>
    </row>
    <row r="600" spans="2:31" ht="15.75" hidden="1">
      <c r="B600" s="103"/>
      <c r="C600" s="387"/>
      <c r="D600" s="60"/>
      <c r="E600" s="387"/>
      <c r="F600" s="387"/>
      <c r="G600" s="387"/>
      <c r="H600" s="387"/>
      <c r="I600" s="387"/>
      <c r="J600" s="387"/>
      <c r="K600" s="387"/>
      <c r="L600" s="387"/>
      <c r="M600" s="387"/>
      <c r="N600" s="387"/>
      <c r="O600" s="387"/>
      <c r="P600" s="1"/>
      <c r="T600" s="491" t="s">
        <v>499</v>
      </c>
      <c r="U600" s="490"/>
      <c r="V600" s="490"/>
      <c r="W600" s="490"/>
      <c r="X600" s="1"/>
      <c r="Y600" s="7">
        <f>'Mon Entreprise'!I136</f>
        <v>0</v>
      </c>
      <c r="Z600" s="133"/>
      <c r="AA600" s="21"/>
      <c r="AB600" s="7">
        <f>IF('Mon Entreprise'!I136-'Mon Entreprise'!M136&lt;0,0,'Mon Entreprise'!I136-'Mon Entreprise'!M136)</f>
        <v>0</v>
      </c>
      <c r="AC600" s="13"/>
      <c r="AD600" s="1"/>
      <c r="AE600" s="27">
        <f>IFERROR(1-'Mon Entreprise'!M136/'Mon Entreprise'!I136,0)</f>
        <v>0</v>
      </c>
    </row>
    <row r="601" spans="2:31" ht="15.75" hidden="1">
      <c r="B601" s="103"/>
      <c r="C601" s="387"/>
      <c r="D601" s="492" t="str">
        <f>IFERROR(IF(AND(AB645=0,AB646=0,AB647=0),"Vous ne pouvez pas bénéficier du fonds de solidarité pour le mois d'Août 2021",IF(AND(AB647&gt;AB646,AB647&gt;AB645),"Votre entreprise peut bénéficier d'une aide de "&amp;AB647&amp;" €, au titre d'une fermeture Administrative avec une perte de 20 % de CA",IF(AB646&gt;AB645,"Votre entreprise peut bénéficier d'une aide de "&amp;AB646&amp;"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"&amp;AB645&amp;" €, au titre d'une fermeture administrative d'au moins 10 jours et d'une perte d'au-moins 50 % de votre CA en Août 2021"))),"Vous n'avez pas indiqué de chiffre d'affaires de référence")</f>
        <v>Vous ne pouvez pas bénéficier du fonds de solidarité pour le mois d'Août 2021</v>
      </c>
      <c r="E601" s="493"/>
      <c r="F601" s="493"/>
      <c r="G601" s="493"/>
      <c r="H601" s="493"/>
      <c r="I601" s="493"/>
      <c r="J601" s="493"/>
      <c r="K601" s="493"/>
      <c r="L601" s="493"/>
      <c r="M601" s="493"/>
      <c r="N601" s="493"/>
      <c r="O601" s="494"/>
      <c r="P601" s="1"/>
      <c r="T601" s="491" t="s">
        <v>25</v>
      </c>
      <c r="U601" s="490"/>
      <c r="V601" s="490"/>
      <c r="W601" s="490"/>
      <c r="X601" s="1"/>
      <c r="Y601" s="7">
        <f>'Mon Entreprise'!I98</f>
        <v>0</v>
      </c>
      <c r="Z601" s="133"/>
      <c r="AA601" s="21"/>
      <c r="AB601" s="7">
        <f>IF('Mon Entreprise'!I98-'Mon Entreprise'!M136&lt;0,0,'Mon Entreprise'!I98-'Mon Entreprise'!M136)</f>
        <v>0</v>
      </c>
      <c r="AC601" s="36"/>
      <c r="AD601" s="1"/>
      <c r="AE601" s="27">
        <f>IFERROR(1-'Mon Entreprise'!M136/'Mon Entreprise'!I98,0)</f>
        <v>0</v>
      </c>
    </row>
    <row r="602" spans="2:31" ht="15.75" hidden="1" customHeight="1">
      <c r="B602" s="103"/>
      <c r="C602" s="387"/>
      <c r="D602" s="495"/>
      <c r="E602" s="496"/>
      <c r="F602" s="496"/>
      <c r="G602" s="496"/>
      <c r="H602" s="496"/>
      <c r="I602" s="496"/>
      <c r="J602" s="496"/>
      <c r="K602" s="496"/>
      <c r="L602" s="496"/>
      <c r="M602" s="496"/>
      <c r="N602" s="496"/>
      <c r="O602" s="497"/>
      <c r="P602" s="1"/>
      <c r="T602" s="501" t="s">
        <v>22</v>
      </c>
      <c r="U602" s="502"/>
      <c r="V602" s="502"/>
      <c r="W602" s="502"/>
      <c r="X602" s="139"/>
      <c r="Y602" s="140" t="str">
        <f>IF('Mon Entreprise'!I148="","NC",'Mon Entreprise'!I148)</f>
        <v>NC</v>
      </c>
      <c r="Z602" s="191"/>
      <c r="AA602" s="192"/>
      <c r="AB602" s="143" t="str">
        <f>IFERROR(IF('Mon Entreprise'!I148-'Mon Entreprise'!M136&lt;0,0,'Mon Entreprise'!I148-'Mon Entreprise'!M136),"NC")</f>
        <v>NC</v>
      </c>
      <c r="AC602" s="193"/>
      <c r="AD602" s="139"/>
      <c r="AE602" s="146" t="str">
        <f>IFERROR(1-'Mon Entreprise'!M136/'Mon Entreprise'!I148,"NC")</f>
        <v>NC</v>
      </c>
    </row>
    <row r="603" spans="2:31" ht="15.75" hidden="1" customHeight="1">
      <c r="B603" s="103"/>
      <c r="C603" s="387"/>
      <c r="D603" s="495"/>
      <c r="E603" s="496"/>
      <c r="F603" s="496"/>
      <c r="G603" s="496"/>
      <c r="H603" s="496"/>
      <c r="I603" s="496"/>
      <c r="J603" s="496"/>
      <c r="K603" s="496"/>
      <c r="L603" s="496"/>
      <c r="M603" s="496"/>
      <c r="N603" s="496"/>
      <c r="O603" s="497"/>
      <c r="P603" s="1"/>
      <c r="T603" s="388"/>
      <c r="U603" s="385"/>
      <c r="V603" s="385"/>
      <c r="W603" s="385"/>
      <c r="X603" s="139"/>
      <c r="Y603" s="140"/>
      <c r="Z603" s="141"/>
      <c r="AA603" s="192"/>
      <c r="AB603" s="143"/>
      <c r="AC603" s="385"/>
      <c r="AD603" s="139"/>
      <c r="AE603" s="146"/>
    </row>
    <row r="604" spans="2:31" ht="15.75" hidden="1" customHeight="1">
      <c r="B604" s="103"/>
      <c r="C604" s="387"/>
      <c r="D604" s="495"/>
      <c r="E604" s="496"/>
      <c r="F604" s="496"/>
      <c r="G604" s="496"/>
      <c r="H604" s="496"/>
      <c r="I604" s="496"/>
      <c r="J604" s="496"/>
      <c r="K604" s="496"/>
      <c r="L604" s="496"/>
      <c r="M604" s="496"/>
      <c r="N604" s="496"/>
      <c r="O604" s="497"/>
      <c r="P604" s="1"/>
      <c r="T604" s="14"/>
      <c r="U604" s="1"/>
      <c r="V604" s="1"/>
      <c r="W604" s="1"/>
      <c r="X604" s="1"/>
      <c r="Y604" s="1"/>
      <c r="Z604" s="1"/>
      <c r="AA604" s="1"/>
      <c r="AB604" s="1"/>
      <c r="AC604" s="1"/>
      <c r="AD604" s="1"/>
      <c r="AE604" s="13"/>
    </row>
    <row r="605" spans="2:31" ht="15.75" hidden="1" customHeight="1">
      <c r="B605" s="103"/>
      <c r="C605" s="387"/>
      <c r="D605" s="495"/>
      <c r="E605" s="496"/>
      <c r="F605" s="496"/>
      <c r="G605" s="496"/>
      <c r="H605" s="496"/>
      <c r="I605" s="496"/>
      <c r="J605" s="496"/>
      <c r="K605" s="496"/>
      <c r="L605" s="496"/>
      <c r="M605" s="496"/>
      <c r="N605" s="496"/>
      <c r="O605" s="497"/>
      <c r="P605" s="1"/>
      <c r="T605" s="14"/>
      <c r="AC605" s="1"/>
      <c r="AD605" s="1"/>
      <c r="AE605" s="13"/>
    </row>
    <row r="606" spans="2:31" ht="15.75" hidden="1" customHeight="1" thickBot="1">
      <c r="B606" s="103"/>
      <c r="C606" s="387"/>
      <c r="D606" s="498"/>
      <c r="E606" s="499"/>
      <c r="F606" s="499"/>
      <c r="G606" s="499"/>
      <c r="H606" s="499"/>
      <c r="I606" s="499"/>
      <c r="J606" s="499"/>
      <c r="K606" s="499"/>
      <c r="L606" s="499"/>
      <c r="M606" s="499"/>
      <c r="N606" s="499"/>
      <c r="O606" s="500"/>
      <c r="P606" s="1"/>
      <c r="T606" s="14"/>
      <c r="AC606" s="1"/>
      <c r="AD606" s="1"/>
      <c r="AE606" s="13"/>
    </row>
    <row r="607" spans="2:31" ht="16.5" hidden="1" customHeight="1">
      <c r="B607" s="103"/>
      <c r="C607" s="387"/>
      <c r="D607" s="503" t="s">
        <v>498</v>
      </c>
      <c r="E607" s="503"/>
      <c r="F607" s="503"/>
      <c r="G607" s="503"/>
      <c r="H607" s="503"/>
      <c r="I607" s="503"/>
      <c r="J607" s="503"/>
      <c r="K607" s="503"/>
      <c r="L607" s="503"/>
      <c r="M607" s="503"/>
      <c r="N607" s="503"/>
      <c r="O607" s="503"/>
      <c r="P607" s="1"/>
      <c r="T607" s="14"/>
      <c r="AC607" s="1"/>
      <c r="AD607" s="1"/>
      <c r="AE607" s="13"/>
    </row>
    <row r="608" spans="2:31" ht="16.5" hidden="1" customHeight="1">
      <c r="B608" s="103"/>
      <c r="C608" s="387"/>
      <c r="D608" s="504"/>
      <c r="E608" s="504"/>
      <c r="F608" s="504"/>
      <c r="G608" s="504"/>
      <c r="H608" s="504"/>
      <c r="I608" s="504"/>
      <c r="J608" s="504"/>
      <c r="K608" s="504"/>
      <c r="L608" s="504"/>
      <c r="M608" s="504"/>
      <c r="N608" s="504"/>
      <c r="O608" s="504"/>
      <c r="P608" s="1"/>
      <c r="T608" s="14"/>
      <c r="AC608" s="1"/>
      <c r="AD608" s="1"/>
      <c r="AE608" s="13"/>
    </row>
    <row r="609" spans="2:31" ht="15.75">
      <c r="B609" s="103"/>
      <c r="C609" s="78"/>
      <c r="D609" s="78"/>
      <c r="E609" s="78"/>
      <c r="F609" s="78"/>
      <c r="G609" s="78"/>
      <c r="H609" s="78"/>
      <c r="I609" s="78"/>
      <c r="J609" s="78"/>
      <c r="K609" s="78"/>
      <c r="L609" s="78"/>
      <c r="M609" s="78"/>
      <c r="N609" s="78"/>
      <c r="O609" s="78"/>
      <c r="P609" s="1"/>
      <c r="T609" s="14"/>
      <c r="U609" s="1"/>
      <c r="V609" s="1"/>
      <c r="W609" s="1"/>
      <c r="X609" s="1"/>
      <c r="Y609" s="1"/>
      <c r="Z609" s="1"/>
      <c r="AA609" s="1"/>
      <c r="AB609" s="1"/>
      <c r="AC609" s="1"/>
      <c r="AD609" s="1"/>
      <c r="AE609" s="13"/>
    </row>
    <row r="610" spans="2:31" ht="15.75">
      <c r="B610" s="103"/>
      <c r="C610" s="387"/>
      <c r="D610" s="60"/>
      <c r="E610" s="387"/>
      <c r="F610" s="387"/>
      <c r="G610" s="387"/>
      <c r="H610" s="387"/>
      <c r="I610" s="387"/>
      <c r="J610" s="387"/>
      <c r="K610" s="387"/>
      <c r="L610" s="387"/>
      <c r="M610" s="387"/>
      <c r="N610" s="387"/>
      <c r="O610" s="387"/>
      <c r="P610" s="1"/>
      <c r="T610" s="14"/>
      <c r="U610" s="1"/>
      <c r="V610" s="1"/>
      <c r="W610" s="1"/>
      <c r="X610" s="1"/>
      <c r="Y610" s="1"/>
      <c r="Z610" s="1"/>
      <c r="AA610" s="1"/>
      <c r="AB610" s="1"/>
      <c r="AC610" s="1"/>
      <c r="AD610" s="1"/>
      <c r="AE610" s="13"/>
    </row>
    <row r="611" spans="2:31" ht="15.75">
      <c r="B611" s="103"/>
      <c r="C611" s="505" t="s">
        <v>510</v>
      </c>
      <c r="D611" s="505"/>
      <c r="E611" s="505"/>
      <c r="F611" s="505"/>
      <c r="G611" s="505"/>
      <c r="H611" s="505"/>
      <c r="I611" s="505"/>
      <c r="J611" s="505"/>
      <c r="K611" s="505"/>
      <c r="L611" s="505"/>
      <c r="M611" s="505"/>
      <c r="N611" s="505"/>
      <c r="O611" s="505"/>
      <c r="P611" s="1"/>
      <c r="T611" s="14"/>
      <c r="U611" s="1"/>
      <c r="V611" s="1"/>
      <c r="W611" s="1"/>
      <c r="X611" s="1"/>
      <c r="Y611" s="1"/>
      <c r="Z611" s="1"/>
      <c r="AA611" s="1"/>
      <c r="AB611" s="1"/>
      <c r="AC611" s="1"/>
      <c r="AD611" s="1"/>
      <c r="AE611" s="13"/>
    </row>
    <row r="612" spans="2:31" ht="15.75">
      <c r="B612" s="103"/>
      <c r="C612" s="505"/>
      <c r="D612" s="505"/>
      <c r="E612" s="505"/>
      <c r="F612" s="505"/>
      <c r="G612" s="505"/>
      <c r="H612" s="505"/>
      <c r="I612" s="505"/>
      <c r="J612" s="505"/>
      <c r="K612" s="505"/>
      <c r="L612" s="505"/>
      <c r="M612" s="505"/>
      <c r="N612" s="505"/>
      <c r="O612" s="505"/>
      <c r="P612" s="1"/>
      <c r="T612" s="14"/>
      <c r="U612" s="506" t="s">
        <v>72</v>
      </c>
      <c r="V612" s="506"/>
      <c r="W612" s="506"/>
      <c r="X612" s="506"/>
      <c r="Y612" s="506"/>
      <c r="Z612" s="1"/>
      <c r="AA612" s="14"/>
      <c r="AB612" s="385" t="str">
        <f>IF('Mon Entreprise'!K8&lt;=Annexes!R15,"Oui","Non")</f>
        <v>Oui</v>
      </c>
      <c r="AC612" s="1"/>
      <c r="AD612" s="1"/>
      <c r="AE612" s="13"/>
    </row>
    <row r="613" spans="2:31" ht="15.75">
      <c r="B613" s="168"/>
      <c r="C613" s="387"/>
      <c r="D613" s="60" t="str">
        <f>IFERROR(IF('Mon Entreprise'!K8&gt;=Annexes!O20,IF(AB600&gt;=AB602,"Le CA de référence est celui d'Août 2019, soit une perte de "&amp;ROUND(AB600,0)&amp;" €"&amp;" ==&gt; "&amp;ROUND(AE600*100,0)&amp;" %","Le CA de référence est celui de la création, soit une perte de "&amp;ROUND(AB602,0)&amp;" €"&amp;" ==&gt; "&amp;ROUND(AE602*100,0)&amp;" %"),IF(AB600&gt;=AB601,"Le CA de référence est celui d'Août 2019, soit une perte de "&amp;ROUND(AB600,0)&amp;" €"&amp;" ==&gt; "&amp;ROUND(AE600*100,0)&amp;" %","Le CA de référence est celui de l'exercice 2019, soit une perte de "&amp;ROUND(AB601,0)&amp;" €"&amp;" ==&gt; "&amp;ROUND(AE601*100,0)&amp;" %")),"")</f>
        <v>Le CA de référence est celui d'Août 2019, soit une perte de 0 € ==&gt; 0 %</v>
      </c>
      <c r="E613" s="387"/>
      <c r="F613" s="387"/>
      <c r="G613" s="387"/>
      <c r="H613" s="387"/>
      <c r="I613" s="387"/>
      <c r="J613" s="387"/>
      <c r="K613" s="387"/>
      <c r="L613" s="387"/>
      <c r="M613" s="387"/>
      <c r="N613" s="387"/>
      <c r="O613" s="387"/>
      <c r="P613" s="1"/>
      <c r="T613" s="14"/>
      <c r="U613" s="386"/>
      <c r="V613" s="506" t="s">
        <v>393</v>
      </c>
      <c r="W613" s="506"/>
      <c r="X613" s="506"/>
      <c r="Y613" s="506"/>
      <c r="Z613" s="1"/>
      <c r="AA613" s="14"/>
      <c r="AB613" s="385">
        <f>IF('Mon Entreprise'!K8&gt;=Annexes!O20,IF(Y600&gt;=Y602,Y600,Y602),IF(Y600&gt;=Y601,Y600,Y601))</f>
        <v>0</v>
      </c>
      <c r="AC613" s="1"/>
      <c r="AD613" s="1"/>
      <c r="AE613" s="13"/>
    </row>
    <row r="614" spans="2:31" ht="15.75" customHeight="1">
      <c r="B614" s="168"/>
      <c r="C614" s="387"/>
      <c r="D614" s="507" t="str">
        <f>IFERROR(IF('Mon Entreprise'!K8&gt;=Annexes!O20,"",IF(AB600&lt;AB601,"A noter qu'il convient de choisir l'option retenue par l'entreprise lors de sa demande au titre du mois Février 2021, ou a défaut celui du mois de Mars, d'Avril, Mai, Juin, Juillet 2021, si le CA de référence était celui de février 2019 (...),"&amp;" il convient de prendre"&amp;" celui d'Août 2019, soit "&amp;ROUND(AB600,0)&amp;" €"&amp;" ==&gt; "&amp;ROUND(AE600*100,0)&amp;" %","A noter qu'il convient de choisir l'option retenue par l'entreprise lors de sa demande au titre du mois Février 2021, ou "&amp;"a défaut celui du mois de Mars, d'Avril, Mai, Juin ou Juillet 2021, si"&amp;" le CA de référence était celui de l'exercice 2019, il convient de prendre celui de l'exercie 2019, soit une perte de "&amp;ROUND(AB601,0)&amp;" €"&amp;" ==&gt; "&amp;ROUND(AE601*100,0)&amp;" %")),"")</f>
        <v>A noter qu'il convient de choisir l'option retenue par l'entreprise lors de sa demande au titre du mois Février 2021, ou a défaut celui du mois de Mars, d'Avril, Mai, Juin ou Juillet 2021, si le CA de référence était celui de l'exercice 2019, il convient de prendre celui de l'exercie 2019, soit une perte de 0 € ==&gt; 0 %</v>
      </c>
      <c r="E614" s="507"/>
      <c r="F614" s="507"/>
      <c r="G614" s="507"/>
      <c r="H614" s="507"/>
      <c r="I614" s="507"/>
      <c r="J614" s="507"/>
      <c r="K614" s="507"/>
      <c r="L614" s="507"/>
      <c r="M614" s="507"/>
      <c r="N614" s="507"/>
      <c r="O614" s="507"/>
      <c r="P614" s="1"/>
      <c r="T614" s="14"/>
      <c r="U614" s="506" t="s">
        <v>84</v>
      </c>
      <c r="V614" s="506"/>
      <c r="W614" s="506"/>
      <c r="X614" s="506"/>
      <c r="Y614" s="506"/>
      <c r="Z614" s="1"/>
      <c r="AA614" s="14"/>
      <c r="AB614" s="381">
        <f>IF('Mon Entreprise'!K8&gt;=Annexes!O20,IF(AB600&gt;=AB602,AB600,AB602),IF(AB600&gt;=AB601,AB600,AB601))</f>
        <v>0</v>
      </c>
      <c r="AC614" s="1"/>
      <c r="AD614" s="1"/>
      <c r="AE614" s="13"/>
    </row>
    <row r="615" spans="2:31" ht="15.75">
      <c r="B615" s="168"/>
      <c r="C615" s="387"/>
      <c r="D615" s="507"/>
      <c r="E615" s="507"/>
      <c r="F615" s="507"/>
      <c r="G615" s="507"/>
      <c r="H615" s="507"/>
      <c r="I615" s="507"/>
      <c r="J615" s="507"/>
      <c r="K615" s="507"/>
      <c r="L615" s="507"/>
      <c r="M615" s="507"/>
      <c r="N615" s="507"/>
      <c r="O615" s="507"/>
      <c r="P615" s="1"/>
      <c r="T615" s="14"/>
      <c r="U615" s="506" t="s">
        <v>85</v>
      </c>
      <c r="V615" s="506"/>
      <c r="W615" s="506"/>
      <c r="X615" s="506"/>
      <c r="Y615" s="506"/>
      <c r="Z615" s="1"/>
      <c r="AA615" s="14"/>
      <c r="AB615" s="19">
        <f>IF('Mon Entreprise'!K8&gt;=Annexes!O20,IF(AB600&gt;=AB602,AE600,AE602),IF(AB600&gt;=AB601,AE600,AE601))</f>
        <v>0</v>
      </c>
      <c r="AC615" s="1"/>
      <c r="AD615" s="1"/>
      <c r="AE615" s="13"/>
    </row>
    <row r="616" spans="2:31" ht="15.75">
      <c r="B616" s="168"/>
      <c r="C616" s="387"/>
      <c r="D616" s="507"/>
      <c r="E616" s="507"/>
      <c r="F616" s="507"/>
      <c r="G616" s="507"/>
      <c r="H616" s="507"/>
      <c r="I616" s="507"/>
      <c r="J616" s="507"/>
      <c r="K616" s="507"/>
      <c r="L616" s="507"/>
      <c r="M616" s="507"/>
      <c r="N616" s="507"/>
      <c r="O616" s="507"/>
      <c r="P616" s="1"/>
      <c r="T616" s="14"/>
      <c r="U616" s="386"/>
      <c r="V616" s="386"/>
      <c r="W616" s="386"/>
      <c r="X616" s="386"/>
      <c r="Y616" s="386"/>
      <c r="Z616" s="1"/>
      <c r="AA616" s="1"/>
      <c r="AB616" s="19"/>
      <c r="AC616" s="1"/>
      <c r="AD616" s="1"/>
      <c r="AE616" s="13"/>
    </row>
    <row r="617" spans="2:31" ht="16.5" thickBot="1">
      <c r="B617" s="103"/>
      <c r="C617" s="387"/>
      <c r="D617" s="60" t="s">
        <v>7</v>
      </c>
      <c r="E617" s="387"/>
      <c r="F617" s="387"/>
      <c r="G617" s="387"/>
      <c r="H617" s="387"/>
      <c r="I617" s="387"/>
      <c r="J617" s="387"/>
      <c r="K617" s="387"/>
      <c r="L617" s="387"/>
      <c r="M617" s="387"/>
      <c r="N617" s="387"/>
      <c r="O617" s="387"/>
      <c r="P617" s="1"/>
      <c r="T617" s="14"/>
      <c r="U617" s="1"/>
      <c r="V617" s="1"/>
      <c r="W617" s="1"/>
      <c r="X617" s="1"/>
      <c r="Y617" s="1"/>
      <c r="Z617" s="1"/>
      <c r="AA617" s="1"/>
      <c r="AB617" s="1"/>
      <c r="AC617" s="1"/>
      <c r="AD617" s="1"/>
      <c r="AE617" s="13"/>
    </row>
    <row r="618" spans="2:31" ht="15.75">
      <c r="B618" s="168"/>
      <c r="C618" s="387"/>
      <c r="D618" s="508" t="str">
        <f>IFERROR(IF(AB612="Non","Vous avez débuté votre activité après le 31 Janvier 2020, vous ne pouvez donc pas bénéficier de cette aide",IF(AND(AB631=TRUE,AB615&gt;=0.2),IF(AB614&gt;Annexes!O5,"Dans votre cas, l'aide est Plafonnée, à "&amp;Annexes!O5&amp;" € pour le mois d'Août","Vous pouvez bénéficier, au titre de cette aide, d'un montant de "&amp;ROUND(AB614,0)&amp;" € pour le mois d'Août"),"L'entreprise n'a pas une perte d'au moins 20 % en Août 2021 ou n'a pas été en fermeture Administrative au moins 8 Jours")),"Vous n'avez pas indiqué de chiffre d'affaires de référence")</f>
        <v>L'entreprise n'a pas une perte d'au moins 20 % en Août 2021 ou n'a pas été en fermeture Administrative au moins 8 Jours</v>
      </c>
      <c r="E618" s="509"/>
      <c r="F618" s="509"/>
      <c r="G618" s="509"/>
      <c r="H618" s="509"/>
      <c r="I618" s="509"/>
      <c r="J618" s="509"/>
      <c r="K618" s="509"/>
      <c r="L618" s="509"/>
      <c r="M618" s="509"/>
      <c r="N618" s="509"/>
      <c r="O618" s="510"/>
      <c r="P618" s="1"/>
      <c r="T618" s="14"/>
      <c r="U618" s="1"/>
      <c r="V618" s="1"/>
      <c r="W618" s="1"/>
      <c r="X618" s="1"/>
      <c r="Y618" s="1"/>
      <c r="Z618" s="1"/>
      <c r="AA618" s="1"/>
      <c r="AB618" s="1"/>
      <c r="AC618" s="1"/>
      <c r="AD618" s="1"/>
      <c r="AE618" s="13"/>
    </row>
    <row r="619" spans="2:31" ht="15.75" customHeight="1">
      <c r="B619" s="168"/>
      <c r="C619" s="387"/>
      <c r="D619" s="511"/>
      <c r="E619" s="512"/>
      <c r="F619" s="512"/>
      <c r="G619" s="512"/>
      <c r="H619" s="512"/>
      <c r="I619" s="512"/>
      <c r="J619" s="512"/>
      <c r="K619" s="512"/>
      <c r="L619" s="512"/>
      <c r="M619" s="512"/>
      <c r="N619" s="512"/>
      <c r="O619" s="513"/>
      <c r="P619" s="1"/>
      <c r="T619" s="14"/>
      <c r="U619" s="1"/>
      <c r="V619" s="1"/>
      <c r="W619" s="1"/>
      <c r="X619" s="1"/>
      <c r="Y619" s="1"/>
      <c r="Z619" s="1"/>
      <c r="AA619" s="1"/>
      <c r="AB619" s="1"/>
      <c r="AC619" s="1"/>
      <c r="AD619" s="1"/>
      <c r="AE619" s="13"/>
    </row>
    <row r="620" spans="2:31" ht="15.75" customHeight="1">
      <c r="B620" s="103"/>
      <c r="C620" s="387"/>
      <c r="D620" s="511"/>
      <c r="E620" s="512"/>
      <c r="F620" s="512"/>
      <c r="G620" s="512"/>
      <c r="H620" s="512"/>
      <c r="I620" s="512"/>
      <c r="J620" s="512"/>
      <c r="K620" s="512"/>
      <c r="L620" s="512"/>
      <c r="M620" s="512"/>
      <c r="N620" s="512"/>
      <c r="O620" s="513"/>
      <c r="P620" s="1"/>
      <c r="T620" s="14"/>
      <c r="U620" s="1"/>
      <c r="V620" s="1"/>
      <c r="W620" s="1"/>
      <c r="X620" s="1"/>
      <c r="Y620" s="1"/>
      <c r="Z620" s="1"/>
      <c r="AA620" s="1"/>
      <c r="AB620" s="1"/>
      <c r="AC620" s="1"/>
      <c r="AD620" s="1"/>
      <c r="AE620" s="13"/>
    </row>
    <row r="621" spans="2:31" ht="15.75" customHeight="1" thickBot="1">
      <c r="B621" s="103"/>
      <c r="C621" s="387"/>
      <c r="D621" s="514"/>
      <c r="E621" s="515"/>
      <c r="F621" s="515"/>
      <c r="G621" s="515"/>
      <c r="H621" s="515"/>
      <c r="I621" s="515"/>
      <c r="J621" s="515"/>
      <c r="K621" s="515"/>
      <c r="L621" s="515"/>
      <c r="M621" s="515"/>
      <c r="N621" s="515"/>
      <c r="O621" s="516"/>
      <c r="P621" s="1"/>
      <c r="T621" s="14"/>
      <c r="U621" s="1"/>
      <c r="V621" s="1"/>
      <c r="W621" s="1"/>
      <c r="X621" s="1"/>
      <c r="Y621" s="1"/>
      <c r="Z621" s="1"/>
      <c r="AA621" s="1"/>
      <c r="AB621" s="1"/>
      <c r="AC621" s="1"/>
      <c r="AD621" s="1"/>
      <c r="AE621" s="13"/>
    </row>
    <row r="622" spans="2:31" ht="16.5" customHeight="1">
      <c r="B622" s="103"/>
      <c r="C622" s="169"/>
      <c r="D622" s="517"/>
      <c r="E622" s="517"/>
      <c r="F622" s="517"/>
      <c r="G622" s="517"/>
      <c r="H622" s="517"/>
      <c r="I622" s="517"/>
      <c r="J622" s="517"/>
      <c r="K622" s="517"/>
      <c r="L622" s="517"/>
      <c r="M622" s="517"/>
      <c r="N622" s="517"/>
      <c r="O622" s="517"/>
      <c r="P622" s="1"/>
      <c r="T622" s="518" t="s">
        <v>4</v>
      </c>
      <c r="U622" s="519"/>
      <c r="V622" s="519"/>
      <c r="W622" s="519"/>
      <c r="X622" s="519"/>
      <c r="Y622" s="519"/>
      <c r="Z622" s="139"/>
      <c r="AA622" s="145"/>
      <c r="AB622" s="194">
        <f>IFERROR(IF('Mon Entreprise'!K8&gt;=Annexes!Q18,0,1-'Mon Entreprise'!M118/2/AB613),0)</f>
        <v>0</v>
      </c>
      <c r="AC622" s="1"/>
      <c r="AD622" s="1"/>
      <c r="AE622" s="13"/>
    </row>
    <row r="623" spans="2:31" ht="16.5" customHeight="1">
      <c r="B623" s="103"/>
      <c r="C623" s="387"/>
      <c r="D623" s="306"/>
      <c r="E623" s="306"/>
      <c r="F623" s="306"/>
      <c r="G623" s="306"/>
      <c r="H623" s="306"/>
      <c r="I623" s="306"/>
      <c r="J623" s="306"/>
      <c r="K623" s="306"/>
      <c r="L623" s="306"/>
      <c r="M623" s="306"/>
      <c r="N623" s="306"/>
      <c r="O623" s="306"/>
      <c r="P623" s="1"/>
      <c r="T623" s="110"/>
      <c r="U623" s="520" t="s">
        <v>102</v>
      </c>
      <c r="V623" s="520"/>
      <c r="W623" s="520"/>
      <c r="X623" s="520"/>
      <c r="Y623" s="520"/>
      <c r="Z623" s="139"/>
      <c r="AA623" s="145"/>
      <c r="AB623" s="194">
        <f>IFERROR(IF('Mon Entreprise'!K8&gt;Annexes!Q29,0,IF('Mon Entreprise'!K8&gt;Annexes!Q26,1,1-'Mon Entreprise'!M114/AB613)),0)</f>
        <v>0</v>
      </c>
      <c r="AC623" s="1"/>
      <c r="AD623" s="1"/>
      <c r="AE623" s="13"/>
    </row>
    <row r="624" spans="2:31" ht="16.5" customHeight="1">
      <c r="B624" s="103"/>
      <c r="C624" s="505" t="s">
        <v>512</v>
      </c>
      <c r="D624" s="505"/>
      <c r="E624" s="505"/>
      <c r="F624" s="505"/>
      <c r="G624" s="505"/>
      <c r="H624" s="505"/>
      <c r="I624" s="505"/>
      <c r="J624" s="505"/>
      <c r="K624" s="505"/>
      <c r="L624" s="505"/>
      <c r="M624" s="505"/>
      <c r="N624" s="505"/>
      <c r="O624" s="505"/>
      <c r="P624" s="1"/>
      <c r="T624" s="110"/>
      <c r="U624" s="520" t="s">
        <v>109</v>
      </c>
      <c r="V624" s="520"/>
      <c r="W624" s="520"/>
      <c r="X624" s="520"/>
      <c r="Y624" s="520"/>
      <c r="Z624" s="139"/>
      <c r="AA624" s="145"/>
      <c r="AB624" s="194">
        <f>IFERROR(IF(Annexes!O27&gt;'Mon Entreprise'!K8,1-'Mon Entreprise'!M98/'Mon Entreprise'!I98,0),0)</f>
        <v>0</v>
      </c>
      <c r="AC624" s="1"/>
      <c r="AD624" s="1"/>
      <c r="AE624" s="13"/>
    </row>
    <row r="625" spans="1:31" ht="16.5" customHeight="1">
      <c r="B625" s="103"/>
      <c r="C625" s="505"/>
      <c r="D625" s="505"/>
      <c r="E625" s="505"/>
      <c r="F625" s="505"/>
      <c r="G625" s="505"/>
      <c r="H625" s="505"/>
      <c r="I625" s="505"/>
      <c r="J625" s="505"/>
      <c r="K625" s="505"/>
      <c r="L625" s="505"/>
      <c r="M625" s="505"/>
      <c r="N625" s="505"/>
      <c r="O625" s="505"/>
      <c r="P625" s="1"/>
      <c r="T625" s="110"/>
      <c r="U625" s="382"/>
      <c r="V625" s="382"/>
      <c r="W625" s="382"/>
      <c r="X625" s="382"/>
      <c r="Y625" s="382"/>
      <c r="Z625" s="139"/>
      <c r="AA625" s="145"/>
      <c r="AB625" s="194"/>
      <c r="AC625" s="1"/>
      <c r="AD625" s="1"/>
      <c r="AE625" s="13"/>
    </row>
    <row r="626" spans="1:31" ht="16.5" customHeight="1">
      <c r="B626" s="103"/>
      <c r="C626" s="505"/>
      <c r="D626" s="505"/>
      <c r="E626" s="505"/>
      <c r="F626" s="505"/>
      <c r="G626" s="505"/>
      <c r="H626" s="505"/>
      <c r="I626" s="505"/>
      <c r="J626" s="505"/>
      <c r="K626" s="505"/>
      <c r="L626" s="505"/>
      <c r="M626" s="505"/>
      <c r="N626" s="505"/>
      <c r="O626" s="505"/>
      <c r="P626" s="1"/>
      <c r="T626" s="110"/>
      <c r="U626" s="382"/>
      <c r="V626" s="382"/>
      <c r="W626" s="382"/>
      <c r="X626" s="382"/>
      <c r="Y626" s="382"/>
      <c r="Z626" s="139"/>
      <c r="AA626" s="145"/>
      <c r="AB626" s="194"/>
      <c r="AC626" s="1"/>
      <c r="AD626" s="1"/>
      <c r="AE626" s="13"/>
    </row>
    <row r="627" spans="1:31" ht="16.5" customHeight="1">
      <c r="B627" s="103"/>
      <c r="C627" s="505"/>
      <c r="D627" s="505"/>
      <c r="E627" s="505"/>
      <c r="F627" s="505"/>
      <c r="G627" s="505"/>
      <c r="H627" s="505"/>
      <c r="I627" s="505"/>
      <c r="J627" s="505"/>
      <c r="K627" s="505"/>
      <c r="L627" s="505"/>
      <c r="M627" s="505"/>
      <c r="N627" s="505"/>
      <c r="O627" s="505"/>
      <c r="P627" s="1"/>
      <c r="T627" s="14"/>
      <c r="U627" s="521" t="s">
        <v>8</v>
      </c>
      <c r="V627" s="521"/>
      <c r="W627" s="521"/>
      <c r="X627" s="521"/>
      <c r="Y627" s="521"/>
      <c r="Z627" s="1"/>
      <c r="AA627" s="14"/>
      <c r="AB627" s="381" t="str">
        <f>IF((AND(Annexes!F5&gt;1,Annexes!F5&lt;=Annexes!H6,AB634&gt;=0.1)),"OUI","NON")</f>
        <v>NON</v>
      </c>
      <c r="AC627" s="1"/>
      <c r="AD627" s="1"/>
      <c r="AE627" s="13"/>
    </row>
    <row r="628" spans="1:31" ht="22.5" customHeight="1">
      <c r="B628" s="103"/>
      <c r="D628" s="564" t="s">
        <v>513</v>
      </c>
      <c r="E628" s="564"/>
      <c r="F628" s="564"/>
      <c r="G628" s="564"/>
      <c r="H628" s="564"/>
      <c r="I628" s="564"/>
      <c r="J628" s="564"/>
      <c r="K628" s="564"/>
      <c r="L628" s="564"/>
      <c r="M628" s="564"/>
      <c r="N628" s="564"/>
      <c r="O628" s="564"/>
      <c r="P628" s="1"/>
      <c r="T628" s="14"/>
      <c r="U628" s="383"/>
      <c r="V628" s="383"/>
      <c r="W628" s="383"/>
      <c r="X628" s="383"/>
      <c r="Y628" s="383" t="s">
        <v>9</v>
      </c>
      <c r="Z628" s="1"/>
      <c r="AA628" s="14"/>
      <c r="AB628" s="381" t="str">
        <f>IF(AND(Annexes!F7&gt;1,Annexes!F7&lt;=Annexes!H8,AB634&gt;=0.1),"OUI","NON")</f>
        <v>NON</v>
      </c>
      <c r="AC628" s="1"/>
      <c r="AD628" s="1"/>
      <c r="AE628" s="13"/>
    </row>
    <row r="629" spans="1:31" ht="16.5" customHeight="1">
      <c r="B629" s="103"/>
      <c r="C629" s="387"/>
      <c r="D629" s="306"/>
      <c r="E629" s="522" t="str">
        <f>IF(AB632="NON","",IF(OR(AB627="OUI",AB629="OUI",AND(AB628="OUI",OR(AB622&gt;=Annexes!P5,AB623&gt;=Annexes!P5,'Mes Aides'!AB145&gt;=0.1))),"",IF(AND(AB628="OUI",OR(AB622&lt;Annexes!P5,AB623&lt;Annexes!P5,'Mes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629" s="522"/>
      <c r="G629" s="522"/>
      <c r="H629" s="522"/>
      <c r="I629" s="522"/>
      <c r="J629" s="522"/>
      <c r="K629" s="522"/>
      <c r="L629" s="522"/>
      <c r="M629" s="522"/>
      <c r="N629" s="522"/>
      <c r="O629" s="522"/>
      <c r="P629" s="1"/>
      <c r="T629" s="491" t="s">
        <v>474</v>
      </c>
      <c r="U629" s="490"/>
      <c r="V629" s="490"/>
      <c r="W629" s="490"/>
      <c r="X629" s="490"/>
      <c r="Y629" s="490"/>
      <c r="Z629" s="1"/>
      <c r="AA629" s="14"/>
      <c r="AB629" s="381" t="str">
        <f>IF(AND(Annexes!M24=TRUE,AB634&gt;=0.1),"OUI","NON")</f>
        <v>NON</v>
      </c>
      <c r="AC629" s="1"/>
      <c r="AD629" s="1"/>
      <c r="AE629" s="13"/>
    </row>
    <row r="630" spans="1:31" ht="16.5" customHeight="1">
      <c r="B630" s="103"/>
      <c r="C630" s="387"/>
      <c r="D630" s="306"/>
      <c r="E630" s="522"/>
      <c r="F630" s="522"/>
      <c r="G630" s="522"/>
      <c r="H630" s="522"/>
      <c r="I630" s="522"/>
      <c r="J630" s="522"/>
      <c r="K630" s="522"/>
      <c r="L630" s="522"/>
      <c r="M630" s="522"/>
      <c r="N630" s="522"/>
      <c r="O630" s="522"/>
      <c r="P630" s="1"/>
      <c r="T630" s="491" t="s">
        <v>509</v>
      </c>
      <c r="U630" s="490"/>
      <c r="V630" s="490"/>
      <c r="W630" s="490"/>
      <c r="X630" s="490"/>
      <c r="Y630" s="490"/>
      <c r="Z630" s="1"/>
      <c r="AA630" s="14"/>
      <c r="AB630" s="381" t="b">
        <f>IF(OR(AND(Annexes!M41=TRUE,AB634&gt;=0.2),AND(Annexes!M42=TRUE,AB634&gt;=0.5)),TRUE,FALSE)</f>
        <v>0</v>
      </c>
      <c r="AC630" s="1"/>
      <c r="AD630" s="1"/>
      <c r="AE630" s="13"/>
    </row>
    <row r="631" spans="1:31" ht="16.5" customHeight="1">
      <c r="A631" s="99"/>
      <c r="B631" s="103"/>
      <c r="C631" s="387"/>
      <c r="D631" s="523" t="str">
        <f>IFERROR(IF('Mon Entreprise'!K8&gt;=Annexes!O20,IF(AB600&gt;=AB602,"- Le CA de référence est celui d'Août 2019, soit une perte de "&amp;ROUND(AB600,0)&amp;" €"&amp;" ==&gt; "&amp;ROUND(AE600*100,0)&amp;" %","- Le CA de référence est celui de la création, soit une perte de "&amp;ROUND(AB602,0)&amp;" €"&amp;" ==&gt; "&amp;ROUND(AE602*100,0)&amp;" %"),IF(AB600&gt;=AB601,"- Le CA de référence est celui d'Août 2019, soit une perte de "&amp;ROUND(AB600,0)&amp;" €"&amp;" ==&gt; "&amp;ROUND(AE600*100,0)&amp;" %","- Le CA de référence est celui de l'exercice 2019, soit une perte de "&amp;ROUND(AB601,0)&amp;" €"&amp;" ==&gt; "&amp;ROUND(AE601*100,0)&amp;" %")),"")</f>
        <v>- Le CA de référence est celui d'Août 2019, soit une perte de 0 € ==&gt; 0 %</v>
      </c>
      <c r="E631" s="523"/>
      <c r="F631" s="523"/>
      <c r="G631" s="523"/>
      <c r="H631" s="523"/>
      <c r="I631" s="523"/>
      <c r="J631" s="523"/>
      <c r="K631" s="523"/>
      <c r="L631" s="523"/>
      <c r="M631" s="523"/>
      <c r="N631" s="523"/>
      <c r="O631" s="523"/>
      <c r="P631" s="1"/>
      <c r="T631" s="14"/>
      <c r="U631" s="381"/>
      <c r="V631" s="381"/>
      <c r="W631" s="381"/>
      <c r="X631" s="381"/>
      <c r="Y631" s="381" t="s">
        <v>505</v>
      </c>
      <c r="Z631" s="1"/>
      <c r="AA631" s="14"/>
      <c r="AB631" s="381" t="b">
        <f>IF(AND(Annexes!M43=TRUE,AB634&gt;=0.2),TRUE,FALSE)</f>
        <v>0</v>
      </c>
      <c r="AC631" s="1"/>
      <c r="AD631" s="1"/>
      <c r="AE631" s="13"/>
    </row>
    <row r="632" spans="1:31" ht="16.5" customHeight="1">
      <c r="A632" s="99"/>
      <c r="B632" s="103"/>
      <c r="C632" s="387"/>
      <c r="D632" s="524" t="str">
        <f>IFERROR(IF('Mon Entreprise'!K8&gt;=Annexes!O20,"",IF(AB600&lt;AB601,"A noter qu'il convient de choisir l'option retenue par l'entreprise lors de sa demande au titre du mois Février ou a défaut celui du mois de Mars, Avril, Mai, Juin ou Juillet 2021, si le CA de référence était celui de février (...) 2019,"&amp;" il convient de prendre celui d'Août 2019, soit "&amp;ROUND(AB600,0)&amp;" €"&amp;" ==&gt; "&amp;ROUND(AE600*100,0)&amp;" %","A noter qu'il convient de choisir l'option retenue par l'entreprise lors de sa demande"&amp;" au titre du mois Février  ou a défaut celui du mois de Mars, Avril, Mai, Juin ou Juillet 2021, si le CA de référence était celui de l'exercice 2019, il convient de prendre celui de l'exercie 2019, soit une perte de "&amp;ROUND(AB601,0)&amp;" €"&amp;" ==&gt; "&amp;ROUND(AE601*100,0)&amp;" %")),"")</f>
        <v>A noter qu'il convient de choisir l'option retenue par l'entreprise lors de sa demande au titre du mois Février  ou a défaut celui du mois de Mars, Avril, Mai, Juin ou Juillet 2021, si le CA de référence était celui de l'exercice 2019, il convient de prendre celui de l'exercie 2019, soit une perte de 0 € ==&gt; 0 %</v>
      </c>
      <c r="E632" s="524"/>
      <c r="F632" s="524"/>
      <c r="G632" s="524"/>
      <c r="H632" s="524"/>
      <c r="I632" s="524"/>
      <c r="J632" s="524"/>
      <c r="K632" s="524"/>
      <c r="L632" s="524"/>
      <c r="M632" s="524"/>
      <c r="N632" s="524"/>
      <c r="O632" s="524"/>
      <c r="P632" s="1"/>
      <c r="T632" s="14"/>
      <c r="U632" s="525" t="s">
        <v>72</v>
      </c>
      <c r="V632" s="525"/>
      <c r="W632" s="525"/>
      <c r="X632" s="525"/>
      <c r="Y632" s="525"/>
      <c r="Z632" s="139"/>
      <c r="AA632" s="145"/>
      <c r="AB632" s="385" t="str">
        <f>IF(AB612="Oui","Oui","Non")</f>
        <v>Oui</v>
      </c>
      <c r="AC632" s="139"/>
      <c r="AD632" s="1"/>
      <c r="AE632" s="13"/>
    </row>
    <row r="633" spans="1:31" ht="16.5" customHeight="1">
      <c r="A633" s="99"/>
      <c r="B633" s="103"/>
      <c r="C633" s="387"/>
      <c r="D633" s="524"/>
      <c r="E633" s="524"/>
      <c r="F633" s="524"/>
      <c r="G633" s="524"/>
      <c r="H633" s="524"/>
      <c r="I633" s="524"/>
      <c r="J633" s="524"/>
      <c r="K633" s="524"/>
      <c r="L633" s="524"/>
      <c r="M633" s="524"/>
      <c r="N633" s="524"/>
      <c r="O633" s="524"/>
      <c r="P633" s="1"/>
      <c r="T633" s="14"/>
      <c r="U633" s="525" t="s">
        <v>84</v>
      </c>
      <c r="V633" s="525"/>
      <c r="W633" s="525"/>
      <c r="X633" s="525"/>
      <c r="Y633" s="525"/>
      <c r="Z633" s="139"/>
      <c r="AA633" s="145"/>
      <c r="AB633" s="385">
        <f>IF('Mon Entreprise'!K8&gt;=Annexes!O20,IF(AB600&gt;=AB602,AB600,AB602),IF(AB600&gt;=AB601,AB600,AB601))</f>
        <v>0</v>
      </c>
      <c r="AC633" s="139"/>
      <c r="AD633" s="1"/>
      <c r="AE633" s="13"/>
    </row>
    <row r="634" spans="1:31" ht="16.5" customHeight="1">
      <c r="B634" s="103"/>
      <c r="C634" s="387"/>
      <c r="D634" s="215"/>
      <c r="E634" s="377"/>
      <c r="F634" s="377"/>
      <c r="G634" s="377"/>
      <c r="H634" s="377"/>
      <c r="I634" s="377"/>
      <c r="J634" s="377"/>
      <c r="K634" s="377"/>
      <c r="L634" s="377"/>
      <c r="M634" s="377"/>
      <c r="N634" s="377"/>
      <c r="O634" s="377"/>
      <c r="P634" s="1"/>
      <c r="T634" s="14"/>
      <c r="U634" s="525" t="s">
        <v>85</v>
      </c>
      <c r="V634" s="525"/>
      <c r="W634" s="525"/>
      <c r="X634" s="525"/>
      <c r="Y634" s="525"/>
      <c r="Z634" s="139"/>
      <c r="AA634" s="145"/>
      <c r="AB634" s="385">
        <f>IF('Mon Entreprise'!K8&gt;=Annexes!O20,IF(AB600&gt;=AB602,AE600,AE602),IF(AB600&gt;=AB601,AE600,AE601))</f>
        <v>0</v>
      </c>
      <c r="AC634" s="139"/>
      <c r="AD634" s="1"/>
      <c r="AE634" s="13"/>
    </row>
    <row r="635" spans="1:31" ht="16.5" customHeight="1" thickBot="1">
      <c r="B635" s="103"/>
      <c r="C635" s="387"/>
      <c r="D635" s="377"/>
      <c r="E635" s="377"/>
      <c r="F635" s="377"/>
      <c r="G635" s="377"/>
      <c r="H635" s="377"/>
      <c r="I635" s="377"/>
      <c r="J635" s="377"/>
      <c r="K635" s="377"/>
      <c r="L635" s="377"/>
      <c r="M635" s="377"/>
      <c r="N635" s="377"/>
      <c r="O635" s="377"/>
      <c r="P635" s="1"/>
      <c r="T635" s="14"/>
      <c r="U635" s="502" t="s">
        <v>74</v>
      </c>
      <c r="V635" s="502"/>
      <c r="W635" s="502"/>
      <c r="X635" s="502"/>
      <c r="Y635" s="502"/>
      <c r="Z635" s="139"/>
      <c r="AA635" s="145"/>
      <c r="AB635" s="385">
        <v>1</v>
      </c>
      <c r="AC635" s="139"/>
      <c r="AD635" s="1"/>
      <c r="AE635" s="13"/>
    </row>
    <row r="636" spans="1:31" ht="16.5" customHeight="1">
      <c r="B636" s="103"/>
      <c r="C636" s="387"/>
      <c r="D636" s="527" t="str">
        <f>IFERROR(IF(AB632="NON","Vous avez débuté votre activité après le 31 Janvier 2020, vous ne pouvez donc pas bénéficier de cette aide",IF(OR(AB627="OUI",AB629="OUI",AND(AB628="OUI",OR(AB622&lt;Annexes!P5,AB623&lt;Annexes!P5,'Mes Aides'!AB198&lt;0.1))),IF(AND(0.2*AB637&gt;Annexes!O8,0.2*AB636&gt;Annexes!O8),"Dans votre cas, l'aide est plafonnée, à "&amp;Annexes!O8&amp;" € pour le mois d'Août",IF(0.2*AB637&gt;=0.2*AB636,"Dans votre cas, 20 % de la perte est supérieur à 20 % du CA, l'aide est donc plafonnée à 20 % du CA, soit "&amp;ROUND(0.2*AB636,0)&amp;" € pour le mois d'Août","Dans votre cas, 20% de la perte est inférieure à 20 % du CA, l'aide est donc plafonnée à 20 % de la perte, soit "&amp;ROUND(0.2*AB637,0)&amp;" € pour le mois d'Août")),"Vous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636" s="509"/>
      <c r="F636" s="509"/>
      <c r="G636" s="509"/>
      <c r="H636" s="509"/>
      <c r="I636" s="509"/>
      <c r="J636" s="509"/>
      <c r="K636" s="509"/>
      <c r="L636" s="509"/>
      <c r="M636" s="509"/>
      <c r="N636" s="509"/>
      <c r="O636" s="510"/>
      <c r="P636" s="1"/>
      <c r="T636" s="14"/>
      <c r="U636" s="502" t="s">
        <v>80</v>
      </c>
      <c r="V636" s="502"/>
      <c r="W636" s="502"/>
      <c r="X636" s="502"/>
      <c r="Y636" s="502"/>
      <c r="Z636" s="139"/>
      <c r="AA636" s="145"/>
      <c r="AB636" s="385">
        <f>IF('Mon Entreprise'!K8&gt;=Annexes!O20,IF(AB600&gt;=AB602,Y600,Y602),IF(AB600&gt;=AB601,Y600,Y601))</f>
        <v>0</v>
      </c>
      <c r="AC636" s="139"/>
      <c r="AD636" s="1"/>
      <c r="AE636" s="13"/>
    </row>
    <row r="637" spans="1:31" ht="16.5" customHeight="1">
      <c r="B637" s="173"/>
      <c r="C637" s="387"/>
      <c r="D637" s="511"/>
      <c r="E637" s="512"/>
      <c r="F637" s="512"/>
      <c r="G637" s="512"/>
      <c r="H637" s="512"/>
      <c r="I637" s="512"/>
      <c r="J637" s="512"/>
      <c r="K637" s="512"/>
      <c r="L637" s="512"/>
      <c r="M637" s="512"/>
      <c r="N637" s="512"/>
      <c r="O637" s="513"/>
      <c r="P637" s="1"/>
      <c r="T637" s="14"/>
      <c r="U637" s="490" t="s">
        <v>104</v>
      </c>
      <c r="V637" s="490"/>
      <c r="W637" s="490"/>
      <c r="X637" s="490"/>
      <c r="Y637" s="490"/>
      <c r="Z637" s="1"/>
      <c r="AA637" s="14"/>
      <c r="AB637" s="381">
        <f>IF(AB635=1,AB633,IF(AB633*AB635&gt;1500,IF(AB633&gt;1500,AB633*AB635,"Impossible"),IF(AB633&lt;1500,AB633,1500)))</f>
        <v>0</v>
      </c>
      <c r="AC637" s="1"/>
      <c r="AD637" s="1"/>
      <c r="AE637" s="13"/>
    </row>
    <row r="638" spans="1:31" ht="16.5" customHeight="1">
      <c r="B638" s="103"/>
      <c r="C638" s="387"/>
      <c r="D638" s="511"/>
      <c r="E638" s="512"/>
      <c r="F638" s="512"/>
      <c r="G638" s="512"/>
      <c r="H638" s="512"/>
      <c r="I638" s="512"/>
      <c r="J638" s="512"/>
      <c r="K638" s="512"/>
      <c r="L638" s="512"/>
      <c r="M638" s="512"/>
      <c r="N638" s="512"/>
      <c r="O638" s="513"/>
      <c r="P638" s="1"/>
      <c r="T638" s="14"/>
      <c r="U638" s="381"/>
      <c r="V638" s="381"/>
      <c r="W638" s="381"/>
      <c r="X638" s="381"/>
      <c r="Y638" s="381"/>
      <c r="Z638" s="1"/>
      <c r="AA638" s="1"/>
      <c r="AB638" s="1"/>
      <c r="AC638" s="1"/>
      <c r="AD638" s="1"/>
      <c r="AE638" s="13"/>
    </row>
    <row r="639" spans="1:31" ht="16.5" customHeight="1" thickBot="1">
      <c r="B639" s="103"/>
      <c r="C639" s="387"/>
      <c r="D639" s="514"/>
      <c r="E639" s="515"/>
      <c r="F639" s="515"/>
      <c r="G639" s="515"/>
      <c r="H639" s="515"/>
      <c r="I639" s="515"/>
      <c r="J639" s="515"/>
      <c r="K639" s="515"/>
      <c r="L639" s="515"/>
      <c r="M639" s="515"/>
      <c r="N639" s="515"/>
      <c r="O639" s="516"/>
      <c r="P639" s="1"/>
      <c r="T639" s="14"/>
      <c r="U639" s="490"/>
      <c r="V639" s="490"/>
      <c r="W639" s="490"/>
      <c r="X639" s="490"/>
      <c r="Y639" s="490"/>
      <c r="Z639" s="1"/>
      <c r="AA639" s="1"/>
      <c r="AB639" s="1"/>
      <c r="AC639" s="1"/>
      <c r="AD639" s="1"/>
      <c r="AE639" s="13"/>
    </row>
    <row r="640" spans="1:31" ht="16.5" customHeight="1">
      <c r="B640" s="103"/>
      <c r="C640" s="387"/>
      <c r="D640" s="565" t="s">
        <v>528</v>
      </c>
      <c r="E640" s="565"/>
      <c r="F640" s="565"/>
      <c r="G640" s="565"/>
      <c r="H640" s="565"/>
      <c r="I640" s="565"/>
      <c r="J640" s="565"/>
      <c r="K640" s="565"/>
      <c r="L640" s="565"/>
      <c r="M640" s="565"/>
      <c r="N640" s="565"/>
      <c r="O640" s="565"/>
      <c r="P640" s="1"/>
      <c r="T640" s="14"/>
      <c r="U640" s="381"/>
      <c r="V640" s="381"/>
      <c r="W640" s="381"/>
      <c r="X640" s="381"/>
      <c r="Y640" s="381"/>
      <c r="Z640" s="1"/>
      <c r="AA640" s="1"/>
      <c r="AB640" s="1"/>
      <c r="AC640" s="1"/>
      <c r="AD640" s="1"/>
      <c r="AE640" s="13"/>
    </row>
    <row r="641" spans="2:31" ht="16.5" customHeight="1">
      <c r="B641" s="103"/>
      <c r="C641" s="169"/>
      <c r="D641" s="174"/>
      <c r="E641" s="174"/>
      <c r="F641" s="174"/>
      <c r="G641" s="174"/>
      <c r="H641" s="174"/>
      <c r="I641" s="174"/>
      <c r="J641" s="174"/>
      <c r="K641" s="174"/>
      <c r="L641" s="174"/>
      <c r="M641" s="174"/>
      <c r="N641" s="174"/>
      <c r="O641" s="174"/>
      <c r="P641" s="1"/>
      <c r="T641" s="14"/>
      <c r="U641" s="381"/>
      <c r="V641" s="381"/>
      <c r="W641" s="381"/>
      <c r="X641" s="381"/>
      <c r="Y641" s="381"/>
      <c r="Z641" s="1"/>
      <c r="AA641" s="1"/>
      <c r="AB641" s="1"/>
      <c r="AC641" s="1"/>
      <c r="AD641" s="1"/>
      <c r="AE641" s="13"/>
    </row>
    <row r="642" spans="2:31" ht="16.5" customHeight="1">
      <c r="B642" s="103"/>
      <c r="C642" s="387"/>
      <c r="D642" s="377"/>
      <c r="E642" s="377"/>
      <c r="F642" s="377"/>
      <c r="G642" s="377"/>
      <c r="H642" s="377"/>
      <c r="I642" s="377"/>
      <c r="J642" s="377"/>
      <c r="K642" s="377"/>
      <c r="L642" s="377"/>
      <c r="M642" s="377"/>
      <c r="N642" s="377"/>
      <c r="O642" s="377"/>
      <c r="P642" s="1"/>
      <c r="T642" s="14"/>
      <c r="U642" s="1"/>
      <c r="V642" s="1"/>
      <c r="W642" s="1"/>
      <c r="X642" s="1"/>
      <c r="Y642" s="1"/>
      <c r="Z642" s="1"/>
      <c r="AA642" s="1"/>
      <c r="AB642" s="1"/>
      <c r="AC642" s="1"/>
      <c r="AD642" s="1"/>
      <c r="AE642" s="13"/>
    </row>
    <row r="643" spans="2:31" ht="16.5" customHeight="1">
      <c r="B643" s="103"/>
      <c r="C643" s="529" t="s">
        <v>511</v>
      </c>
      <c r="D643" s="529"/>
      <c r="E643" s="529"/>
      <c r="F643" s="529"/>
      <c r="G643" s="529"/>
      <c r="H643" s="529"/>
      <c r="I643" s="529"/>
      <c r="J643" s="529"/>
      <c r="K643" s="529"/>
      <c r="L643" s="529"/>
      <c r="M643" s="529"/>
      <c r="N643" s="529"/>
      <c r="O643" s="529"/>
      <c r="P643" s="1"/>
      <c r="T643" s="14"/>
      <c r="U643" s="1"/>
      <c r="V643" s="1"/>
      <c r="W643" s="1"/>
      <c r="X643" s="1"/>
      <c r="Y643" s="1"/>
      <c r="Z643" s="1"/>
      <c r="AA643" s="1"/>
      <c r="AB643" s="1"/>
      <c r="AC643" s="1"/>
      <c r="AD643" s="1"/>
      <c r="AE643" s="13"/>
    </row>
    <row r="644" spans="2:31" ht="16.5" customHeight="1">
      <c r="B644" s="103"/>
      <c r="C644" s="529"/>
      <c r="D644" s="529"/>
      <c r="E644" s="529"/>
      <c r="F644" s="529"/>
      <c r="G644" s="529"/>
      <c r="H644" s="529"/>
      <c r="I644" s="529"/>
      <c r="J644" s="529"/>
      <c r="K644" s="529"/>
      <c r="L644" s="529"/>
      <c r="M644" s="529"/>
      <c r="N644" s="529"/>
      <c r="O644" s="529"/>
      <c r="P644" s="1"/>
      <c r="T644" s="14"/>
      <c r="U644" s="1"/>
      <c r="V644" s="1"/>
      <c r="W644" s="1"/>
      <c r="X644" s="1"/>
      <c r="Y644" s="1"/>
      <c r="Z644" s="1"/>
      <c r="AA644" s="1"/>
      <c r="AB644" s="1"/>
      <c r="AC644" s="1"/>
      <c r="AD644" s="1"/>
      <c r="AE644" s="13"/>
    </row>
    <row r="645" spans="2:31" ht="16.5" customHeight="1">
      <c r="B645" s="173"/>
      <c r="C645" s="387"/>
      <c r="D645" s="306"/>
      <c r="E645" s="528" t="str">
        <f>IF(AB632="NON","",IF(AB630=TRUE,"","L'entreprise n'a pas été en fermeture Administrative avec 20 % de perte de CA ou fermeture Administrative de 21 jours avec 50 % de perte  de CA"))</f>
        <v>L'entreprise n'a pas été en fermeture Administrative avec 20 % de perte de CA ou fermeture Administrative de 21 jours avec 50 % de perte  de CA</v>
      </c>
      <c r="F645" s="528"/>
      <c r="G645" s="528"/>
      <c r="H645" s="528"/>
      <c r="I645" s="528"/>
      <c r="J645" s="528"/>
      <c r="K645" s="528"/>
      <c r="L645" s="528"/>
      <c r="M645" s="528"/>
      <c r="N645" s="528"/>
      <c r="O645" s="528"/>
      <c r="P645" s="1"/>
      <c r="T645" s="14"/>
      <c r="U645" s="502" t="s">
        <v>82</v>
      </c>
      <c r="V645" s="502"/>
      <c r="W645" s="502"/>
      <c r="X645" s="502"/>
      <c r="Y645" s="502"/>
      <c r="Z645" s="68"/>
      <c r="AA645" s="1"/>
      <c r="AB645" s="1">
        <f>IFERROR(IF(AB612="Non",0,IF(AND(AB631=TRUE,AB615&gt;=0.2),IF(AB614&gt;Annexes!O5,Annexes!O5,ROUND(AB614,0)),0)),0)</f>
        <v>0</v>
      </c>
      <c r="AC645" s="1"/>
      <c r="AD645" s="1"/>
      <c r="AE645" s="13"/>
    </row>
    <row r="646" spans="2:31" ht="16.5" customHeight="1">
      <c r="B646" s="173"/>
      <c r="C646" s="387"/>
      <c r="D646" s="306"/>
      <c r="E646" s="528"/>
      <c r="F646" s="528"/>
      <c r="G646" s="528"/>
      <c r="H646" s="528"/>
      <c r="I646" s="528"/>
      <c r="J646" s="528"/>
      <c r="K646" s="528"/>
      <c r="L646" s="528"/>
      <c r="M646" s="528"/>
      <c r="N646" s="528"/>
      <c r="O646" s="528"/>
      <c r="P646" s="1"/>
      <c r="T646" s="14"/>
      <c r="U646" s="502" t="s">
        <v>478</v>
      </c>
      <c r="V646" s="502"/>
      <c r="W646" s="502"/>
      <c r="X646" s="502"/>
      <c r="Y646" s="502"/>
      <c r="Z646" s="68"/>
      <c r="AA646" s="1"/>
      <c r="AB646" s="1">
        <f>IFERROR(IF(AB632="NON",0,IF(OR(AB627="OUI",AB629="OUI",AND(AB628="OUI",OR(AB622&lt;Annexes!P5,AB623&lt;Annexes!P5,'Mes Aides'!AB198&lt;0.1))),IF(AND(0.2*AB637,0.2*AB636)&lt;Annexes!O8,Annexes!O8,IF(0.2*AB637&gt;=0.2*AB636,ROUND(0.2*AB636,0),ROUND(0.2*AB637,0))),0)),0)</f>
        <v>0</v>
      </c>
      <c r="AC646" s="1"/>
      <c r="AD646" s="1"/>
      <c r="AE646" s="13"/>
    </row>
    <row r="647" spans="2:31" ht="15" customHeight="1">
      <c r="B647" s="173"/>
      <c r="C647" s="387"/>
      <c r="D647" s="306"/>
      <c r="E647" s="353"/>
      <c r="F647" s="353"/>
      <c r="G647" s="353"/>
      <c r="H647" s="353"/>
      <c r="I647" s="353"/>
      <c r="J647" s="353"/>
      <c r="K647" s="353"/>
      <c r="L647" s="353"/>
      <c r="M647" s="353"/>
      <c r="N647" s="353"/>
      <c r="O647" s="353"/>
      <c r="P647" s="1"/>
      <c r="T647" s="14"/>
      <c r="U647" s="502" t="s">
        <v>478</v>
      </c>
      <c r="V647" s="502"/>
      <c r="W647" s="502"/>
      <c r="X647" s="502"/>
      <c r="Y647" s="502"/>
      <c r="Z647" s="68"/>
      <c r="AA647" s="1"/>
      <c r="AB647" s="1">
        <f>IFERROR(IF(AB632="NON",0,IF(AB630=TRUE,IF(AB636*0.2&gt;Annexes!O8,Annexes!O8,ROUND(AB636*0.2,0)),0)),0)</f>
        <v>0</v>
      </c>
      <c r="AC647" s="1"/>
      <c r="AD647" s="1"/>
      <c r="AE647" s="13"/>
    </row>
    <row r="648" spans="2:31" ht="15" customHeight="1">
      <c r="B648" s="173"/>
      <c r="C648" s="387"/>
      <c r="D648" s="417" t="str">
        <f>IFERROR(IF('Mon Entreprise'!K8&gt;=Annexes!O20,IF(AB600&gt;=AB602,"- Le CA de référence est celui d'Août 2019, soit une perte de "&amp;ROUND(AB600,0)&amp;" €"&amp;" ==&gt; "&amp;ROUND(AE600*100,0)&amp;" %","- Le CA de référence est celui de la création, soit une perte de "&amp;ROUND(AB602,0)&amp;" €"&amp;" ==&gt; "&amp;ROUND(AE602*100,0)&amp;" %"),IF(AB600&gt;=AB601,"- Le CA de référence est celui d'Août 2019, soit une perte de "&amp;ROUND(AB600,0)&amp;" €"&amp;" ==&gt; "&amp;ROUND(AE600*100,0)&amp;" %","- Le CA de référence est celui de l'exercice 2019, soit une perte de "&amp;ROUND(AB601,0)&amp;" €"&amp;" ==&gt; "&amp;ROUND(AE601*100,0)&amp;" %")),"")</f>
        <v>- Le CA de référence est celui d'Août 2019, soit une perte de 0 € ==&gt; 0 %</v>
      </c>
      <c r="E648" s="417"/>
      <c r="F648" s="417"/>
      <c r="G648" s="417"/>
      <c r="H648" s="417"/>
      <c r="I648" s="417"/>
      <c r="J648" s="417"/>
      <c r="K648" s="417"/>
      <c r="L648" s="417"/>
      <c r="M648" s="417"/>
      <c r="N648" s="417"/>
      <c r="O648" s="417"/>
      <c r="P648" s="377"/>
      <c r="Q648" s="377"/>
      <c r="T648" s="14"/>
      <c r="U648" s="1"/>
      <c r="V648" s="1"/>
      <c r="W648" s="1"/>
      <c r="X648" s="1"/>
      <c r="Y648" s="1"/>
      <c r="Z648" s="1"/>
      <c r="AA648" s="1"/>
      <c r="AB648" s="1"/>
      <c r="AC648" s="1"/>
      <c r="AD648" s="1"/>
      <c r="AE648" s="13"/>
    </row>
    <row r="649" spans="2:31" ht="16.5" customHeight="1">
      <c r="B649" s="173"/>
      <c r="C649" s="387"/>
      <c r="D649" s="524" t="str">
        <f>IFERROR(IF('Mon Entreprise'!K8&gt;=Annexes!O20,"",IF(AB600&lt;AB601,"A noter qu'il convient de choisir l'option retenue par l'entreprise lors de sa demande au titre du mois Février ou a défaut celui du mois de Mars, Avril, Mai, Juin ou Juillet 2021, si le CA de référence était celui de février (...) 2019, il convient"&amp;" de prendre celui d'Août 2019 (...), soit "&amp;ROUND(AB600,0)&amp;" €"&amp;" ==&gt; "&amp;ROUND(AE600*100,0)&amp;" %","A noter qu'il convient de choisir l'option retenue par l'entreprise lors de sa demande au titre du mois Février "&amp;"ou a défaut celui du mois de Mars, d'Avril, Mai, Juin ou Juillet 2021, si le CA de référence était celui de l'exercice 2019, il convient de prendre celui de l'exercie 2019, soit une perte de "&amp;ROUND(AB601,0)&amp;" €"&amp;" ==&gt; "&amp;ROUND(AE601*100,0)&amp;" %")),"")</f>
        <v>A noter qu'il convient de choisir l'option retenue par l'entreprise lors de sa demande au titre du mois Février ou a défaut celui du mois de Mars, d'Avril, Mai, Juin ou Juillet 2021, si le CA de référence était celui de l'exercice 2019, il convient de prendre celui de l'exercie 2019, soit une perte de 0 € ==&gt; 0 %</v>
      </c>
      <c r="E649" s="524"/>
      <c r="F649" s="524"/>
      <c r="G649" s="524"/>
      <c r="H649" s="524"/>
      <c r="I649" s="524"/>
      <c r="J649" s="524"/>
      <c r="K649" s="524"/>
      <c r="L649" s="524"/>
      <c r="M649" s="524"/>
      <c r="N649" s="524"/>
      <c r="O649" s="524"/>
      <c r="P649" s="377"/>
      <c r="Q649" s="377"/>
      <c r="T649" s="14"/>
      <c r="U649" s="1"/>
      <c r="V649" s="1"/>
      <c r="W649" s="1"/>
      <c r="X649" s="1"/>
      <c r="Y649" s="1"/>
      <c r="Z649" s="1"/>
      <c r="AA649" s="1"/>
      <c r="AB649" s="1"/>
      <c r="AC649" s="1"/>
      <c r="AD649" s="1"/>
      <c r="AE649" s="13"/>
    </row>
    <row r="650" spans="2:31" ht="16.5" customHeight="1">
      <c r="B650" s="173"/>
      <c r="C650" s="387"/>
      <c r="D650" s="524"/>
      <c r="E650" s="524"/>
      <c r="F650" s="524"/>
      <c r="G650" s="524"/>
      <c r="H650" s="524"/>
      <c r="I650" s="524"/>
      <c r="J650" s="524"/>
      <c r="K650" s="524"/>
      <c r="L650" s="524"/>
      <c r="M650" s="524"/>
      <c r="N650" s="524"/>
      <c r="O650" s="524"/>
      <c r="P650" s="377"/>
      <c r="Q650" s="377"/>
      <c r="T650" s="14"/>
      <c r="U650" s="1"/>
      <c r="V650" s="1"/>
      <c r="W650" s="1"/>
      <c r="X650" s="1"/>
      <c r="Y650" s="1"/>
      <c r="Z650" s="1"/>
      <c r="AA650" s="1"/>
      <c r="AB650" s="1"/>
      <c r="AC650" s="1"/>
      <c r="AD650" s="1"/>
      <c r="AE650" s="13"/>
    </row>
    <row r="651" spans="2:31" ht="16.5" customHeight="1" thickBot="1">
      <c r="B651" s="168"/>
      <c r="C651" s="387"/>
      <c r="D651" s="205"/>
      <c r="E651" s="377"/>
      <c r="F651" s="377"/>
      <c r="G651" s="377"/>
      <c r="H651" s="377"/>
      <c r="I651" s="377"/>
      <c r="J651" s="377"/>
      <c r="K651" s="377"/>
      <c r="L651" s="377"/>
      <c r="M651" s="377"/>
      <c r="N651" s="377"/>
      <c r="O651" s="377"/>
      <c r="P651" s="377"/>
      <c r="Q651" s="377"/>
      <c r="T651" s="14"/>
      <c r="U651" s="1"/>
      <c r="V651" s="1"/>
      <c r="W651" s="1"/>
      <c r="X651" s="1"/>
      <c r="Y651" s="1"/>
      <c r="Z651" s="1"/>
      <c r="AA651" s="1"/>
      <c r="AB651" s="1"/>
      <c r="AC651" s="1"/>
      <c r="AD651" s="1"/>
      <c r="AE651" s="13"/>
    </row>
    <row r="652" spans="2:31" ht="16.5" customHeight="1">
      <c r="B652" s="103"/>
      <c r="C652" s="180"/>
      <c r="D652" s="526" t="str">
        <f>IFERROR(IF(AB632="NON","Vous avez débuté votre activité après le 31 Janvier 2020, vous ne pouvez donc pas bénéficier de cette aide",IF(AB630=TRUE,IF(AB636*0.2&gt;Annexes!O8,"Dans votre cas, l'aide est plafonnée, à "&amp;Annexes!O8&amp;" € pour le mois d'Août","Dans votre cas, l'aide est plafonnée à 20 % du CA, soit "&amp;ROUND(AB636*0.2,0)&amp;" € pour le mois d'Août"),"Vous ne faites pas partie des entreprises en fermeture Administrative avec 20 % de perte de CA ou fermeture Administrative avec 20 % de perte de CA ou en fermeture Administrative de 21 jours avec 50 % de perte de CA")),"Vous n'avez pas indiqué de chiffre d'affaires de référence")</f>
        <v>Vous ne faites pas partie des entreprises en fermeture Administrative avec 20 % de perte de CA ou fermeture Administrative avec 20 % de perte de CA ou en fermeture Administrative de 21 jours avec 50 % de perte de CA</v>
      </c>
      <c r="E652" s="509"/>
      <c r="F652" s="509"/>
      <c r="G652" s="509"/>
      <c r="H652" s="509"/>
      <c r="I652" s="509"/>
      <c r="J652" s="509"/>
      <c r="K652" s="509"/>
      <c r="L652" s="509"/>
      <c r="M652" s="509"/>
      <c r="N652" s="509"/>
      <c r="O652" s="510"/>
      <c r="P652" s="377"/>
      <c r="Q652" s="377"/>
      <c r="T652" s="14"/>
      <c r="U652" s="1"/>
      <c r="V652" s="1"/>
      <c r="W652" s="1"/>
      <c r="X652" s="1"/>
      <c r="Y652" s="1"/>
      <c r="Z652" s="1"/>
      <c r="AA652" s="1"/>
      <c r="AB652" s="1"/>
      <c r="AC652" s="1"/>
      <c r="AD652" s="1"/>
      <c r="AE652" s="13"/>
    </row>
    <row r="653" spans="2:31" ht="16.5" customHeight="1">
      <c r="B653" s="103"/>
      <c r="C653" s="180"/>
      <c r="D653" s="511"/>
      <c r="E653" s="512"/>
      <c r="F653" s="512"/>
      <c r="G653" s="512"/>
      <c r="H653" s="512"/>
      <c r="I653" s="512"/>
      <c r="J653" s="512"/>
      <c r="K653" s="512"/>
      <c r="L653" s="512"/>
      <c r="M653" s="512"/>
      <c r="N653" s="512"/>
      <c r="O653" s="513"/>
      <c r="P653" s="377"/>
      <c r="Q653" s="377"/>
      <c r="T653" s="14"/>
      <c r="U653" s="1"/>
      <c r="V653" s="1"/>
      <c r="W653" s="1"/>
      <c r="X653" s="1"/>
      <c r="Y653" s="1"/>
      <c r="Z653" s="1"/>
      <c r="AA653" s="1"/>
      <c r="AB653" s="1"/>
      <c r="AC653" s="1"/>
      <c r="AD653" s="1"/>
      <c r="AE653" s="13"/>
    </row>
    <row r="654" spans="2:31" ht="16.5" customHeight="1">
      <c r="B654" s="103"/>
      <c r="C654" s="180"/>
      <c r="D654" s="511"/>
      <c r="E654" s="512"/>
      <c r="F654" s="512"/>
      <c r="G654" s="512"/>
      <c r="H654" s="512"/>
      <c r="I654" s="512"/>
      <c r="J654" s="512"/>
      <c r="K654" s="512"/>
      <c r="L654" s="512"/>
      <c r="M654" s="512"/>
      <c r="N654" s="512"/>
      <c r="O654" s="513"/>
      <c r="P654" s="175"/>
      <c r="Q654" s="175"/>
      <c r="T654" s="14"/>
      <c r="U654" s="1"/>
      <c r="V654" s="1"/>
      <c r="W654" s="1"/>
      <c r="X654" s="1"/>
      <c r="Y654" s="1"/>
      <c r="Z654" s="1"/>
      <c r="AA654" s="1"/>
      <c r="AB654" s="1"/>
      <c r="AC654" s="1"/>
      <c r="AD654" s="1"/>
      <c r="AE654" s="13"/>
    </row>
    <row r="655" spans="2:31" ht="16.5" customHeight="1" thickBot="1">
      <c r="B655" s="103"/>
      <c r="C655" s="180"/>
      <c r="D655" s="514"/>
      <c r="E655" s="515"/>
      <c r="F655" s="515"/>
      <c r="G655" s="515"/>
      <c r="H655" s="515"/>
      <c r="I655" s="515"/>
      <c r="J655" s="515"/>
      <c r="K655" s="515"/>
      <c r="L655" s="515"/>
      <c r="M655" s="515"/>
      <c r="N655" s="515"/>
      <c r="O655" s="516"/>
      <c r="T655" s="14"/>
      <c r="U655" s="1"/>
      <c r="V655" s="1"/>
      <c r="W655" s="1"/>
      <c r="X655" s="1"/>
      <c r="Y655" s="1"/>
      <c r="Z655" s="1"/>
      <c r="AA655" s="1"/>
      <c r="AB655" s="1"/>
      <c r="AC655" s="1"/>
      <c r="AD655" s="1"/>
      <c r="AE655" s="13"/>
    </row>
    <row r="656" spans="2:31" ht="16.5" customHeight="1">
      <c r="B656" s="5"/>
      <c r="C656" s="5"/>
      <c r="D656" s="354"/>
      <c r="E656" s="354"/>
      <c r="F656" s="354"/>
      <c r="G656" s="354"/>
      <c r="H656" s="354"/>
      <c r="I656" s="354"/>
      <c r="J656" s="354"/>
      <c r="K656" s="354"/>
      <c r="L656" s="354"/>
      <c r="M656" s="354"/>
      <c r="N656" s="354"/>
      <c r="O656" s="354"/>
      <c r="P656" s="177"/>
      <c r="Q656" s="177"/>
      <c r="T656" s="14"/>
      <c r="U656" s="1"/>
      <c r="V656" s="1"/>
      <c r="W656" s="1"/>
      <c r="X656" s="1"/>
      <c r="Y656" s="1"/>
      <c r="Z656" s="1"/>
      <c r="AA656" s="1"/>
      <c r="AB656" s="1"/>
      <c r="AC656" s="1"/>
      <c r="AD656" s="1"/>
      <c r="AE656" s="13"/>
    </row>
    <row r="657" spans="2:31" ht="16.5" customHeight="1">
      <c r="B657" s="5"/>
      <c r="C657" s="5"/>
      <c r="D657" s="355"/>
      <c r="E657" s="355"/>
      <c r="F657" s="355"/>
      <c r="G657" s="355"/>
      <c r="H657" s="355"/>
      <c r="I657" s="355"/>
      <c r="J657" s="355"/>
      <c r="K657" s="355"/>
      <c r="L657" s="355"/>
      <c r="M657" s="355"/>
      <c r="N657" s="355"/>
      <c r="O657" s="355"/>
      <c r="P657" s="177"/>
      <c r="Q657" s="177"/>
      <c r="T657" s="14"/>
      <c r="U657" s="1"/>
      <c r="V657" s="1"/>
      <c r="W657" s="1"/>
      <c r="X657" s="1"/>
      <c r="Y657" s="1"/>
      <c r="Z657" s="1"/>
      <c r="AA657" s="1"/>
      <c r="AB657" s="1"/>
      <c r="AC657" s="1"/>
      <c r="AD657" s="1"/>
      <c r="AE657" s="13"/>
    </row>
    <row r="658" spans="2:31" ht="16.5" thickBot="1">
      <c r="B658" s="220"/>
      <c r="C658" s="488" t="s">
        <v>19</v>
      </c>
      <c r="D658" s="488"/>
      <c r="E658" s="488"/>
      <c r="F658" s="488"/>
      <c r="G658" s="488"/>
      <c r="H658" s="488"/>
      <c r="I658" s="221"/>
      <c r="J658" s="221"/>
      <c r="K658" s="221"/>
      <c r="L658" s="221"/>
      <c r="M658" s="221"/>
      <c r="N658" s="221"/>
      <c r="O658" s="221"/>
      <c r="T658" s="16"/>
      <c r="U658" s="11"/>
      <c r="V658" s="11"/>
      <c r="W658" s="11"/>
      <c r="X658" s="11"/>
      <c r="Y658" s="11"/>
      <c r="Z658" s="11"/>
      <c r="AA658" s="11"/>
      <c r="AB658" s="11"/>
      <c r="AC658" s="11"/>
      <c r="AD658" s="11"/>
      <c r="AE658" s="12"/>
    </row>
    <row r="659" spans="2:31" ht="15" customHeight="1">
      <c r="B659" s="63"/>
      <c r="C659" s="24"/>
      <c r="D659" s="24"/>
      <c r="E659" s="24"/>
      <c r="F659" s="24"/>
      <c r="G659" s="24"/>
      <c r="H659" s="103"/>
      <c r="I659" s="1"/>
      <c r="J659" s="1"/>
      <c r="K659" s="1"/>
      <c r="L659" s="1"/>
      <c r="M659" s="1"/>
      <c r="N659" s="1"/>
      <c r="O659" s="1"/>
      <c r="T659" s="14"/>
      <c r="U659" s="1"/>
      <c r="V659" s="1"/>
      <c r="W659" s="1"/>
      <c r="X659" s="1"/>
      <c r="Y659" s="1"/>
      <c r="Z659" s="1"/>
      <c r="AA659" s="1"/>
      <c r="AB659" s="1"/>
      <c r="AC659" s="1"/>
      <c r="AD659" s="1"/>
      <c r="AE659" s="13"/>
    </row>
    <row r="660" spans="2:31" ht="15" customHeight="1">
      <c r="B660" s="103"/>
      <c r="C660" s="489" t="s">
        <v>521</v>
      </c>
      <c r="D660" s="489"/>
      <c r="E660" s="489"/>
      <c r="F660" s="489"/>
      <c r="G660" s="489"/>
      <c r="H660" s="489"/>
      <c r="I660" s="489"/>
      <c r="J660" s="489"/>
      <c r="K660" s="489"/>
      <c r="L660" s="489"/>
      <c r="M660" s="489"/>
      <c r="N660" s="489"/>
      <c r="O660" s="489"/>
      <c r="P660" s="1"/>
      <c r="T660" s="25"/>
      <c r="U660" s="490" t="s">
        <v>20</v>
      </c>
      <c r="V660" s="490"/>
      <c r="W660" s="490"/>
      <c r="X660" s="1"/>
      <c r="Y660" s="390" t="s">
        <v>6</v>
      </c>
      <c r="Z660" s="390"/>
      <c r="AA660" s="390"/>
      <c r="AB660" s="390" t="s">
        <v>23</v>
      </c>
      <c r="AC660" s="390"/>
      <c r="AD660" s="390"/>
      <c r="AE660" s="26" t="s">
        <v>24</v>
      </c>
    </row>
    <row r="661" spans="2:31" ht="15.75" customHeight="1">
      <c r="B661" s="103"/>
      <c r="C661" s="387"/>
      <c r="D661" s="60" t="s">
        <v>435</v>
      </c>
      <c r="E661" s="387"/>
      <c r="F661" s="387"/>
      <c r="G661" s="387"/>
      <c r="H661" s="387"/>
      <c r="I661" s="387"/>
      <c r="J661" s="387"/>
      <c r="K661" s="387"/>
      <c r="L661" s="387"/>
      <c r="M661" s="387"/>
      <c r="N661" s="387"/>
      <c r="O661" s="387"/>
      <c r="P661" s="1"/>
      <c r="T661" s="25"/>
      <c r="U661" s="390"/>
      <c r="V661" s="390"/>
      <c r="W661" s="390"/>
      <c r="X661" s="1"/>
      <c r="Y661" s="390"/>
      <c r="Z661" s="390"/>
      <c r="AA661" s="390"/>
      <c r="AB661" s="390"/>
      <c r="AC661" s="390"/>
      <c r="AD661" s="390"/>
      <c r="AE661" s="26"/>
    </row>
    <row r="662" spans="2:31" ht="15.75" hidden="1">
      <c r="B662" s="103"/>
      <c r="C662" s="387"/>
      <c r="D662" s="60"/>
      <c r="E662" s="387"/>
      <c r="F662" s="387"/>
      <c r="G662" s="387"/>
      <c r="H662" s="387"/>
      <c r="I662" s="387"/>
      <c r="J662" s="387"/>
      <c r="K662" s="387"/>
      <c r="L662" s="387"/>
      <c r="M662" s="387"/>
      <c r="N662" s="387"/>
      <c r="O662" s="387"/>
      <c r="P662" s="1"/>
      <c r="T662" s="491" t="s">
        <v>527</v>
      </c>
      <c r="U662" s="490"/>
      <c r="V662" s="490"/>
      <c r="W662" s="490"/>
      <c r="X662" s="1"/>
      <c r="Y662" s="7">
        <f>'Mon Entreprise'!I138</f>
        <v>0</v>
      </c>
      <c r="Z662" s="133"/>
      <c r="AA662" s="21"/>
      <c r="AB662" s="7">
        <f>IF('Mon Entreprise'!I138-'Mon Entreprise'!M138&lt;0,0,'Mon Entreprise'!I138-'Mon Entreprise'!M138)</f>
        <v>0</v>
      </c>
      <c r="AC662" s="13"/>
      <c r="AD662" s="1"/>
      <c r="AE662" s="27">
        <f>IFERROR(1-'Mon Entreprise'!M138/'Mon Entreprise'!I138,0)</f>
        <v>0</v>
      </c>
    </row>
    <row r="663" spans="2:31" ht="15.75" hidden="1">
      <c r="B663" s="103"/>
      <c r="C663" s="387"/>
      <c r="D663" s="492" t="str">
        <f>IFERROR(IF(AND(AB707=0,AB708=0,AB709=0),"Vous ne pouvez pas bénéficier du fonds de solidarité pour le mois de Septembre 2021",IF(AND(AB709&gt;AB708,AB709&gt;AB707),"Votre entreprise peut bénéficier d'une aide de "&amp;AB709&amp;" €, au titre d'une fermeture Administrative avec une perte de 20 % de CA",IF(AB708&gt;AB707,"Votre entreprise peut bénéficier d'une aide de "&amp;AB708&amp;" €, au titre des entreprises ayant leur activité mentionnée en annexe 1, ou en annexe 2, avec une perte de CA "&amp;"d'au moins 80 % entre le 15/03/2020 et le 15/05/2020 ou au mois de Novembre 2020 ou une perte de 10 % entre 2019 et 2020, ou domicilié dans les îles d'outre-mer","Votre entreprise peut bénéficier d'une aide de "&amp;AB707&amp;" €, au titre d'une fermeture administrative d'au moins 10 jours et d'une perte d'au-moins 50 % de votre CA en Septembre 2021"))),"Vous n'avez pas indiqué de chiffre d'affaires de référence")</f>
        <v>Vous ne pouvez pas bénéficier du fonds de solidarité pour le mois de Septembre 2021</v>
      </c>
      <c r="E663" s="493"/>
      <c r="F663" s="493"/>
      <c r="G663" s="493"/>
      <c r="H663" s="493"/>
      <c r="I663" s="493"/>
      <c r="J663" s="493"/>
      <c r="K663" s="493"/>
      <c r="L663" s="493"/>
      <c r="M663" s="493"/>
      <c r="N663" s="493"/>
      <c r="O663" s="494"/>
      <c r="P663" s="1"/>
      <c r="T663" s="491" t="s">
        <v>25</v>
      </c>
      <c r="U663" s="490"/>
      <c r="V663" s="490"/>
      <c r="W663" s="490"/>
      <c r="X663" s="1"/>
      <c r="Y663" s="7">
        <f>'Mon Entreprise'!I98</f>
        <v>0</v>
      </c>
      <c r="Z663" s="133"/>
      <c r="AA663" s="21"/>
      <c r="AB663" s="7">
        <f>IF('Mon Entreprise'!I98-'Mon Entreprise'!M138&lt;0,0,'Mon Entreprise'!I98-'Mon Entreprise'!M138)</f>
        <v>0</v>
      </c>
      <c r="AC663" s="36"/>
      <c r="AD663" s="1"/>
      <c r="AE663" s="27">
        <f>IFERROR(1-'Mon Entreprise'!M138/'Mon Entreprise'!I98,0)</f>
        <v>0</v>
      </c>
    </row>
    <row r="664" spans="2:31" ht="15.75" hidden="1" customHeight="1">
      <c r="B664" s="103"/>
      <c r="C664" s="387"/>
      <c r="D664" s="495"/>
      <c r="E664" s="496"/>
      <c r="F664" s="496"/>
      <c r="G664" s="496"/>
      <c r="H664" s="496"/>
      <c r="I664" s="496"/>
      <c r="J664" s="496"/>
      <c r="K664" s="496"/>
      <c r="L664" s="496"/>
      <c r="M664" s="496"/>
      <c r="N664" s="496"/>
      <c r="O664" s="497"/>
      <c r="P664" s="1"/>
      <c r="T664" s="501" t="s">
        <v>22</v>
      </c>
      <c r="U664" s="502"/>
      <c r="V664" s="502"/>
      <c r="W664" s="502"/>
      <c r="X664" s="139"/>
      <c r="Y664" s="140" t="str">
        <f>IF('Mon Entreprise'!I148="","NC",'Mon Entreprise'!I148)</f>
        <v>NC</v>
      </c>
      <c r="Z664" s="191"/>
      <c r="AA664" s="192"/>
      <c r="AB664" s="143" t="str">
        <f>IFERROR(IF('Mon Entreprise'!I148-'Mon Entreprise'!M138&lt;0,0,'Mon Entreprise'!I148-'Mon Entreprise'!M138),"NC")</f>
        <v>NC</v>
      </c>
      <c r="AC664" s="193"/>
      <c r="AD664" s="139"/>
      <c r="AE664" s="146" t="str">
        <f>IFERROR(1-'Mon Entreprise'!M138/'Mon Entreprise'!I148,"NC")</f>
        <v>NC</v>
      </c>
    </row>
    <row r="665" spans="2:31" ht="15.75" hidden="1" customHeight="1">
      <c r="B665" s="103"/>
      <c r="C665" s="387"/>
      <c r="D665" s="495"/>
      <c r="E665" s="496"/>
      <c r="F665" s="496"/>
      <c r="G665" s="496"/>
      <c r="H665" s="496"/>
      <c r="I665" s="496"/>
      <c r="J665" s="496"/>
      <c r="K665" s="496"/>
      <c r="L665" s="496"/>
      <c r="M665" s="496"/>
      <c r="N665" s="496"/>
      <c r="O665" s="497"/>
      <c r="P665" s="1"/>
      <c r="T665" s="388"/>
      <c r="U665" s="385"/>
      <c r="V665" s="385"/>
      <c r="W665" s="385"/>
      <c r="X665" s="139"/>
      <c r="Y665" s="140"/>
      <c r="Z665" s="141"/>
      <c r="AA665" s="192"/>
      <c r="AB665" s="143"/>
      <c r="AC665" s="385"/>
      <c r="AD665" s="139"/>
      <c r="AE665" s="146"/>
    </row>
    <row r="666" spans="2:31" ht="15.75" hidden="1" customHeight="1">
      <c r="B666" s="103"/>
      <c r="C666" s="387"/>
      <c r="D666" s="495"/>
      <c r="E666" s="496"/>
      <c r="F666" s="496"/>
      <c r="G666" s="496"/>
      <c r="H666" s="496"/>
      <c r="I666" s="496"/>
      <c r="J666" s="496"/>
      <c r="K666" s="496"/>
      <c r="L666" s="496"/>
      <c r="M666" s="496"/>
      <c r="N666" s="496"/>
      <c r="O666" s="497"/>
      <c r="P666" s="1"/>
      <c r="T666" s="14"/>
      <c r="U666" s="1"/>
      <c r="V666" s="1"/>
      <c r="W666" s="1"/>
      <c r="X666" s="1"/>
      <c r="Y666" s="1"/>
      <c r="Z666" s="1"/>
      <c r="AA666" s="1"/>
      <c r="AB666" s="1"/>
      <c r="AC666" s="1"/>
      <c r="AD666" s="1"/>
      <c r="AE666" s="13"/>
    </row>
    <row r="667" spans="2:31" ht="15.75" hidden="1" customHeight="1">
      <c r="B667" s="103"/>
      <c r="C667" s="387"/>
      <c r="D667" s="495"/>
      <c r="E667" s="496"/>
      <c r="F667" s="496"/>
      <c r="G667" s="496"/>
      <c r="H667" s="496"/>
      <c r="I667" s="496"/>
      <c r="J667" s="496"/>
      <c r="K667" s="496"/>
      <c r="L667" s="496"/>
      <c r="M667" s="496"/>
      <c r="N667" s="496"/>
      <c r="O667" s="497"/>
      <c r="P667" s="1"/>
      <c r="T667" s="14"/>
      <c r="AC667" s="1"/>
      <c r="AD667" s="1"/>
      <c r="AE667" s="13"/>
    </row>
    <row r="668" spans="2:31" ht="15.75" hidden="1" customHeight="1" thickBot="1">
      <c r="B668" s="103"/>
      <c r="C668" s="387"/>
      <c r="D668" s="498"/>
      <c r="E668" s="499"/>
      <c r="F668" s="499"/>
      <c r="G668" s="499"/>
      <c r="H668" s="499"/>
      <c r="I668" s="499"/>
      <c r="J668" s="499"/>
      <c r="K668" s="499"/>
      <c r="L668" s="499"/>
      <c r="M668" s="499"/>
      <c r="N668" s="499"/>
      <c r="O668" s="500"/>
      <c r="P668" s="1"/>
      <c r="T668" s="14"/>
      <c r="AC668" s="1"/>
      <c r="AD668" s="1"/>
      <c r="AE668" s="13"/>
    </row>
    <row r="669" spans="2:31" ht="16.5" hidden="1" customHeight="1">
      <c r="B669" s="103"/>
      <c r="C669" s="387"/>
      <c r="D669" s="503" t="s">
        <v>525</v>
      </c>
      <c r="E669" s="503"/>
      <c r="F669" s="503"/>
      <c r="G669" s="503"/>
      <c r="H669" s="503"/>
      <c r="I669" s="503"/>
      <c r="J669" s="503"/>
      <c r="K669" s="503"/>
      <c r="L669" s="503"/>
      <c r="M669" s="503"/>
      <c r="N669" s="503"/>
      <c r="O669" s="503"/>
      <c r="P669" s="1"/>
      <c r="T669" s="14"/>
      <c r="AC669" s="1"/>
      <c r="AD669" s="1"/>
      <c r="AE669" s="13"/>
    </row>
    <row r="670" spans="2:31" ht="16.5" hidden="1" customHeight="1">
      <c r="B670" s="103"/>
      <c r="C670" s="387"/>
      <c r="D670" s="504"/>
      <c r="E670" s="504"/>
      <c r="F670" s="504"/>
      <c r="G670" s="504"/>
      <c r="H670" s="504"/>
      <c r="I670" s="504"/>
      <c r="J670" s="504"/>
      <c r="K670" s="504"/>
      <c r="L670" s="504"/>
      <c r="M670" s="504"/>
      <c r="N670" s="504"/>
      <c r="O670" s="504"/>
      <c r="P670" s="1"/>
      <c r="T670" s="14"/>
      <c r="AC670" s="1"/>
      <c r="AD670" s="1"/>
      <c r="AE670" s="13"/>
    </row>
    <row r="671" spans="2:31" ht="15.75">
      <c r="B671" s="103"/>
      <c r="C671" s="78"/>
      <c r="D671" s="78"/>
      <c r="E671" s="78"/>
      <c r="F671" s="78"/>
      <c r="G671" s="78"/>
      <c r="H671" s="78"/>
      <c r="I671" s="78"/>
      <c r="J671" s="78"/>
      <c r="K671" s="78"/>
      <c r="L671" s="78"/>
      <c r="M671" s="78"/>
      <c r="N671" s="78"/>
      <c r="O671" s="78"/>
      <c r="P671" s="1"/>
      <c r="T671" s="14"/>
      <c r="U671" s="1"/>
      <c r="V671" s="1"/>
      <c r="W671" s="1"/>
      <c r="X671" s="1"/>
      <c r="Y671" s="1"/>
      <c r="Z671" s="1"/>
      <c r="AA671" s="1"/>
      <c r="AB671" s="1"/>
      <c r="AC671" s="1"/>
      <c r="AD671" s="1"/>
      <c r="AE671" s="13"/>
    </row>
    <row r="672" spans="2:31" ht="15.75">
      <c r="B672" s="103"/>
      <c r="C672" s="387"/>
      <c r="D672" s="60"/>
      <c r="E672" s="387"/>
      <c r="F672" s="387"/>
      <c r="G672" s="387"/>
      <c r="H672" s="387"/>
      <c r="I672" s="387"/>
      <c r="J672" s="387"/>
      <c r="K672" s="387"/>
      <c r="L672" s="387"/>
      <c r="M672" s="387"/>
      <c r="N672" s="387"/>
      <c r="O672" s="387"/>
      <c r="P672" s="1"/>
      <c r="T672" s="14"/>
      <c r="U672" s="1"/>
      <c r="V672" s="1"/>
      <c r="W672" s="1"/>
      <c r="X672" s="1"/>
      <c r="Y672" s="1"/>
      <c r="Z672" s="1"/>
      <c r="AA672" s="1"/>
      <c r="AB672" s="1"/>
      <c r="AC672" s="1"/>
      <c r="AD672" s="1"/>
      <c r="AE672" s="13"/>
    </row>
    <row r="673" spans="2:31" ht="15.75">
      <c r="B673" s="103"/>
      <c r="C673" s="505" t="s">
        <v>526</v>
      </c>
      <c r="D673" s="505"/>
      <c r="E673" s="505"/>
      <c r="F673" s="505"/>
      <c r="G673" s="505"/>
      <c r="H673" s="505"/>
      <c r="I673" s="505"/>
      <c r="J673" s="505"/>
      <c r="K673" s="505"/>
      <c r="L673" s="505"/>
      <c r="M673" s="505"/>
      <c r="N673" s="505"/>
      <c r="O673" s="505"/>
      <c r="P673" s="1"/>
      <c r="T673" s="14"/>
      <c r="U673" s="1"/>
      <c r="V673" s="1"/>
      <c r="W673" s="1"/>
      <c r="X673" s="1"/>
      <c r="Y673" s="1"/>
      <c r="Z673" s="1"/>
      <c r="AA673" s="1"/>
      <c r="AB673" s="1"/>
      <c r="AC673" s="1"/>
      <c r="AD673" s="1"/>
      <c r="AE673" s="13"/>
    </row>
    <row r="674" spans="2:31" ht="15.75">
      <c r="B674" s="103"/>
      <c r="C674" s="505"/>
      <c r="D674" s="505"/>
      <c r="E674" s="505"/>
      <c r="F674" s="505"/>
      <c r="G674" s="505"/>
      <c r="H674" s="505"/>
      <c r="I674" s="505"/>
      <c r="J674" s="505"/>
      <c r="K674" s="505"/>
      <c r="L674" s="505"/>
      <c r="M674" s="505"/>
      <c r="N674" s="505"/>
      <c r="O674" s="505"/>
      <c r="P674" s="1"/>
      <c r="T674" s="14"/>
      <c r="U674" s="506" t="s">
        <v>72</v>
      </c>
      <c r="V674" s="506"/>
      <c r="W674" s="506"/>
      <c r="X674" s="506"/>
      <c r="Y674" s="506"/>
      <c r="Z674" s="1"/>
      <c r="AA674" s="14"/>
      <c r="AB674" s="385" t="str">
        <f>IF('Mon Entreprise'!K8&lt;=Annexes!R15,"Oui","Non")</f>
        <v>Oui</v>
      </c>
      <c r="AC674" s="1"/>
      <c r="AD674" s="1"/>
      <c r="AE674" s="13"/>
    </row>
    <row r="675" spans="2:31" ht="15.75">
      <c r="B675" s="168"/>
      <c r="C675" s="387"/>
      <c r="D675" s="60" t="str">
        <f>IFERROR(IF('Mon Entreprise'!K8&gt;=Annexes!O20,IF(AB662&gt;=AB664,"Le CA de référence est celui de Septembre 2019, soit une perte de "&amp;ROUND(AB662,0)&amp;" €"&amp;" ==&gt; "&amp;ROUND(AE662*100,0)&amp;" %","Le CA de référence est celui de la création, soit une perte de "&amp;ROUND(AB664,0)&amp;" €"&amp;" ==&gt; "&amp;ROUND(AE664*100,0)&amp;" %"),IF(AB662&gt;=AB663,"Le CA de référence est celui de Septembre 2019, soit une perte de "&amp;ROUND(AB662,0)&amp;" €"&amp;" ==&gt; "&amp;ROUND(AE662*100,0)&amp;" %","Le CA de référence est celui de l'exercice 2019, soit une perte de "&amp;ROUND(AB663,0)&amp;" €"&amp;" ==&gt; "&amp;ROUND(AE663*100,0)&amp;" %")),"")</f>
        <v>Le CA de référence est celui de Septembre 2019, soit une perte de 0 € ==&gt; 0 %</v>
      </c>
      <c r="E675" s="387"/>
      <c r="F675" s="387"/>
      <c r="G675" s="387"/>
      <c r="H675" s="387"/>
      <c r="I675" s="387"/>
      <c r="J675" s="387"/>
      <c r="K675" s="387"/>
      <c r="L675" s="387"/>
      <c r="M675" s="387"/>
      <c r="N675" s="387"/>
      <c r="O675" s="387"/>
      <c r="P675" s="1"/>
      <c r="T675" s="14"/>
      <c r="U675" s="386"/>
      <c r="V675" s="506" t="s">
        <v>393</v>
      </c>
      <c r="W675" s="506"/>
      <c r="X675" s="506"/>
      <c r="Y675" s="506"/>
      <c r="Z675" s="1"/>
      <c r="AA675" s="14"/>
      <c r="AB675" s="385">
        <f>IF('Mon Entreprise'!K8&gt;=Annexes!O20,IF(Y662&gt;=Y664,Y662,Y664),IF(Y662&gt;=Y663,Y662,Y663))</f>
        <v>0</v>
      </c>
      <c r="AC675" s="1"/>
      <c r="AD675" s="1"/>
      <c r="AE675" s="13"/>
    </row>
    <row r="676" spans="2:31" ht="15.75" customHeight="1">
      <c r="B676" s="168"/>
      <c r="C676" s="387"/>
      <c r="D676" s="507" t="str">
        <f>IFERROR(IF('Mon Entreprise'!K8&gt;=Annexes!O20,"",IF(AB662&lt;AB663,"A noter qu'il convient de choisir l'option retenue par l'entreprise lors de sa demande au titre du mois Février 2021, ou a défaut celui du mois de Mars, d'Avril, Mai, Juin, Juillet, Août 2021, si le CA de référence était celui de février 2019 (...),"&amp;" il convient de prendre"&amp;" celui de Septembre 2019, soit "&amp;ROUND(AB662,0)&amp;" €"&amp;" ==&gt; "&amp;ROUND(AE662*100,0)&amp;" %","A noter qu'il convient de choisir l'option retenue par l'entreprise lors de sa demande au titre du mois Février 2021, ou "&amp;"a défaut celui du mois de Mars, d'Avril, Mai, Juin, Juillet ou Août 2021, si"&amp;" le CA de référence était celui de l'exercice 2019, il convient de prendre celui de l'exercie 2019, soit une perte de "&amp;ROUND(AB663,0)&amp;" €"&amp;" ==&gt; "&amp;ROUND(AE663*100,0)&amp;" %")),"")</f>
        <v>A noter qu'il convient de choisir l'option retenue par l'entreprise lors de sa demande au titre du mois Février 2021, ou a défaut celui du mois de Mars, d'Avril, Mai, Juin, Juillet ou Août 2021, si le CA de référence était celui de l'exercice 2019, il convient de prendre celui de l'exercie 2019, soit une perte de 0 € ==&gt; 0 %</v>
      </c>
      <c r="E676" s="507"/>
      <c r="F676" s="507"/>
      <c r="G676" s="507"/>
      <c r="H676" s="507"/>
      <c r="I676" s="507"/>
      <c r="J676" s="507"/>
      <c r="K676" s="507"/>
      <c r="L676" s="507"/>
      <c r="M676" s="507"/>
      <c r="N676" s="507"/>
      <c r="O676" s="507"/>
      <c r="P676" s="1"/>
      <c r="T676" s="14"/>
      <c r="U676" s="506" t="s">
        <v>84</v>
      </c>
      <c r="V676" s="506"/>
      <c r="W676" s="506"/>
      <c r="X676" s="506"/>
      <c r="Y676" s="506"/>
      <c r="Z676" s="1"/>
      <c r="AA676" s="14"/>
      <c r="AB676" s="381">
        <f>IF('Mon Entreprise'!K8&gt;=Annexes!O20,IF(AB662&gt;=AB664,AB662,AB664),IF(AB662&gt;=AB663,AB662,AB663))</f>
        <v>0</v>
      </c>
      <c r="AC676" s="1"/>
      <c r="AD676" s="1"/>
      <c r="AE676" s="13"/>
    </row>
    <row r="677" spans="2:31" ht="15.75">
      <c r="B677" s="168"/>
      <c r="C677" s="387"/>
      <c r="D677" s="507"/>
      <c r="E677" s="507"/>
      <c r="F677" s="507"/>
      <c r="G677" s="507"/>
      <c r="H677" s="507"/>
      <c r="I677" s="507"/>
      <c r="J677" s="507"/>
      <c r="K677" s="507"/>
      <c r="L677" s="507"/>
      <c r="M677" s="507"/>
      <c r="N677" s="507"/>
      <c r="O677" s="507"/>
      <c r="P677" s="1"/>
      <c r="T677" s="14"/>
      <c r="U677" s="506" t="s">
        <v>85</v>
      </c>
      <c r="V677" s="506"/>
      <c r="W677" s="506"/>
      <c r="X677" s="506"/>
      <c r="Y677" s="506"/>
      <c r="Z677" s="1"/>
      <c r="AA677" s="14"/>
      <c r="AB677" s="19">
        <f>IF('Mon Entreprise'!K8&gt;=Annexes!O20,IF(AB662&gt;=AB664,AE662,AE664),IF(AB662&gt;=AB663,AE662,AE663))</f>
        <v>0</v>
      </c>
      <c r="AC677" s="1"/>
      <c r="AD677" s="1"/>
      <c r="AE677" s="13"/>
    </row>
    <row r="678" spans="2:31" ht="15.75">
      <c r="B678" s="168"/>
      <c r="C678" s="387"/>
      <c r="D678" s="507"/>
      <c r="E678" s="507"/>
      <c r="F678" s="507"/>
      <c r="G678" s="507"/>
      <c r="H678" s="507"/>
      <c r="I678" s="507"/>
      <c r="J678" s="507"/>
      <c r="K678" s="507"/>
      <c r="L678" s="507"/>
      <c r="M678" s="507"/>
      <c r="N678" s="507"/>
      <c r="O678" s="507"/>
      <c r="P678" s="1"/>
      <c r="T678" s="14"/>
      <c r="U678" s="386"/>
      <c r="V678" s="386"/>
      <c r="W678" s="386"/>
      <c r="X678" s="386"/>
      <c r="Y678" s="386"/>
      <c r="Z678" s="1"/>
      <c r="AA678" s="1"/>
      <c r="AB678" s="19"/>
      <c r="AC678" s="1"/>
      <c r="AD678" s="1"/>
      <c r="AE678" s="13"/>
    </row>
    <row r="679" spans="2:31" ht="16.5" thickBot="1">
      <c r="B679" s="103"/>
      <c r="C679" s="387"/>
      <c r="D679" s="60" t="s">
        <v>7</v>
      </c>
      <c r="E679" s="387"/>
      <c r="F679" s="387"/>
      <c r="G679" s="387"/>
      <c r="H679" s="387"/>
      <c r="I679" s="387"/>
      <c r="J679" s="387"/>
      <c r="K679" s="387"/>
      <c r="L679" s="387"/>
      <c r="M679" s="387"/>
      <c r="N679" s="387"/>
      <c r="O679" s="387"/>
      <c r="P679" s="1"/>
      <c r="T679" s="14"/>
      <c r="U679" s="1"/>
      <c r="V679" s="1"/>
      <c r="W679" s="1"/>
      <c r="X679" s="1"/>
      <c r="Y679" s="1"/>
      <c r="Z679" s="1"/>
      <c r="AA679" s="1"/>
      <c r="AB679" s="1"/>
      <c r="AC679" s="1"/>
      <c r="AD679" s="1"/>
      <c r="AE679" s="13"/>
    </row>
    <row r="680" spans="2:31" ht="15.75">
      <c r="B680" s="168"/>
      <c r="C680" s="387"/>
      <c r="D680" s="508" t="str">
        <f>IFERROR(IF(AB674="Non","Vous avez débuté votre activité après le 31 Janvier 2020, vous ne pouvez donc pas bénéficier de cette aide",IF(AND(AB693=TRUE,AB677&gt;=0.5),IF(AB676&gt;Annexes!O5,"Dans votre cas, l'aide est Plafonnée, à "&amp;Annexes!O5&amp;" € pour le mois de Septembre","Vous pouvez bénéficier, au titre de cette aide, d'un montant de "&amp;ROUND(AB676,0)&amp;" € pour le mois de Septembre"),"L'entreprise n'a pas une perte d'au moins 20 % en Septembre 2021 ou n'a pas été en fermeture Administrative au moins 8 Jours")),"Vous n'avez pas indiqué de chiffre d'affaires de référence")</f>
        <v>L'entreprise n'a pas une perte d'au moins 20 % en Septembre 2021 ou n'a pas été en fermeture Administrative au moins 8 Jours</v>
      </c>
      <c r="E680" s="509"/>
      <c r="F680" s="509"/>
      <c r="G680" s="509"/>
      <c r="H680" s="509"/>
      <c r="I680" s="509"/>
      <c r="J680" s="509"/>
      <c r="K680" s="509"/>
      <c r="L680" s="509"/>
      <c r="M680" s="509"/>
      <c r="N680" s="509"/>
      <c r="O680" s="510"/>
      <c r="P680" s="1"/>
      <c r="T680" s="14"/>
      <c r="U680" s="1"/>
      <c r="V680" s="1"/>
      <c r="W680" s="1"/>
      <c r="X680" s="1"/>
      <c r="Y680" s="1"/>
      <c r="Z680" s="1"/>
      <c r="AA680" s="1"/>
      <c r="AB680" s="1"/>
      <c r="AC680" s="1"/>
      <c r="AD680" s="1"/>
      <c r="AE680" s="13"/>
    </row>
    <row r="681" spans="2:31" ht="15.75" customHeight="1">
      <c r="B681" s="168"/>
      <c r="C681" s="387"/>
      <c r="D681" s="511"/>
      <c r="E681" s="512"/>
      <c r="F681" s="512"/>
      <c r="G681" s="512"/>
      <c r="H681" s="512"/>
      <c r="I681" s="512"/>
      <c r="J681" s="512"/>
      <c r="K681" s="512"/>
      <c r="L681" s="512"/>
      <c r="M681" s="512"/>
      <c r="N681" s="512"/>
      <c r="O681" s="513"/>
      <c r="P681" s="1"/>
      <c r="T681" s="14"/>
      <c r="U681" s="1"/>
      <c r="V681" s="1"/>
      <c r="W681" s="1"/>
      <c r="X681" s="1"/>
      <c r="Y681" s="1"/>
      <c r="Z681" s="1"/>
      <c r="AA681" s="1"/>
      <c r="AB681" s="1"/>
      <c r="AC681" s="1"/>
      <c r="AD681" s="1"/>
      <c r="AE681" s="13"/>
    </row>
    <row r="682" spans="2:31" ht="15.75" customHeight="1">
      <c r="B682" s="103"/>
      <c r="C682" s="387"/>
      <c r="D682" s="511"/>
      <c r="E682" s="512"/>
      <c r="F682" s="512"/>
      <c r="G682" s="512"/>
      <c r="H682" s="512"/>
      <c r="I682" s="512"/>
      <c r="J682" s="512"/>
      <c r="K682" s="512"/>
      <c r="L682" s="512"/>
      <c r="M682" s="512"/>
      <c r="N682" s="512"/>
      <c r="O682" s="513"/>
      <c r="P682" s="1"/>
      <c r="T682" s="14"/>
      <c r="U682" s="1"/>
      <c r="V682" s="1"/>
      <c r="W682" s="1"/>
      <c r="X682" s="1"/>
      <c r="Y682" s="1"/>
      <c r="Z682" s="1"/>
      <c r="AA682" s="1"/>
      <c r="AB682" s="1"/>
      <c r="AC682" s="1"/>
      <c r="AD682" s="1"/>
      <c r="AE682" s="13"/>
    </row>
    <row r="683" spans="2:31" ht="15.75" customHeight="1" thickBot="1">
      <c r="B683" s="103"/>
      <c r="C683" s="387"/>
      <c r="D683" s="514"/>
      <c r="E683" s="515"/>
      <c r="F683" s="515"/>
      <c r="G683" s="515"/>
      <c r="H683" s="515"/>
      <c r="I683" s="515"/>
      <c r="J683" s="515"/>
      <c r="K683" s="515"/>
      <c r="L683" s="515"/>
      <c r="M683" s="515"/>
      <c r="N683" s="515"/>
      <c r="O683" s="516"/>
      <c r="P683" s="1"/>
      <c r="T683" s="14"/>
      <c r="U683" s="1"/>
      <c r="V683" s="1"/>
      <c r="W683" s="1"/>
      <c r="X683" s="1"/>
      <c r="Y683" s="1"/>
      <c r="Z683" s="1"/>
      <c r="AA683" s="1"/>
      <c r="AB683" s="1"/>
      <c r="AC683" s="1"/>
      <c r="AD683" s="1"/>
      <c r="AE683" s="13"/>
    </row>
    <row r="684" spans="2:31" ht="16.5" customHeight="1">
      <c r="B684" s="103"/>
      <c r="C684" s="169"/>
      <c r="D684" s="517"/>
      <c r="E684" s="517"/>
      <c r="F684" s="517"/>
      <c r="G684" s="517"/>
      <c r="H684" s="517"/>
      <c r="I684" s="517"/>
      <c r="J684" s="517"/>
      <c r="K684" s="517"/>
      <c r="L684" s="517"/>
      <c r="M684" s="517"/>
      <c r="N684" s="517"/>
      <c r="O684" s="517"/>
      <c r="P684" s="1"/>
      <c r="T684" s="518" t="s">
        <v>4</v>
      </c>
      <c r="U684" s="519"/>
      <c r="V684" s="519"/>
      <c r="W684" s="519"/>
      <c r="X684" s="519"/>
      <c r="Y684" s="519"/>
      <c r="Z684" s="139"/>
      <c r="AA684" s="145"/>
      <c r="AB684" s="194">
        <f>IFERROR(IF('Mon Entreprise'!K8&gt;=Annexes!Q18,0,1-'Mon Entreprise'!M118/2/AB675),0)</f>
        <v>0</v>
      </c>
      <c r="AC684" s="1"/>
      <c r="AD684" s="1"/>
      <c r="AE684" s="13"/>
    </row>
    <row r="685" spans="2:31" ht="16.5" customHeight="1">
      <c r="B685" s="103"/>
      <c r="C685" s="387"/>
      <c r="D685" s="306"/>
      <c r="E685" s="306"/>
      <c r="F685" s="306"/>
      <c r="G685" s="306"/>
      <c r="H685" s="306"/>
      <c r="I685" s="306"/>
      <c r="J685" s="306"/>
      <c r="K685" s="306"/>
      <c r="L685" s="306"/>
      <c r="M685" s="306"/>
      <c r="N685" s="306"/>
      <c r="O685" s="306"/>
      <c r="P685" s="1"/>
      <c r="T685" s="110"/>
      <c r="U685" s="520" t="s">
        <v>102</v>
      </c>
      <c r="V685" s="520"/>
      <c r="W685" s="520"/>
      <c r="X685" s="520"/>
      <c r="Y685" s="520"/>
      <c r="Z685" s="139"/>
      <c r="AA685" s="145"/>
      <c r="AB685" s="194">
        <f>IFERROR(IF('Mon Entreprise'!K8&gt;Annexes!Q29,0,IF('Mon Entreprise'!K8&gt;Annexes!Q26,1,1-'Mon Entreprise'!M114/AB675)),0)</f>
        <v>0</v>
      </c>
      <c r="AC685" s="1"/>
      <c r="AD685" s="1"/>
      <c r="AE685" s="13"/>
    </row>
    <row r="686" spans="2:31" ht="16.5" customHeight="1">
      <c r="B686" s="103"/>
      <c r="C686" s="505" t="s">
        <v>512</v>
      </c>
      <c r="D686" s="505"/>
      <c r="E686" s="505"/>
      <c r="F686" s="505"/>
      <c r="G686" s="505"/>
      <c r="H686" s="505"/>
      <c r="I686" s="505"/>
      <c r="J686" s="505"/>
      <c r="K686" s="505"/>
      <c r="L686" s="505"/>
      <c r="M686" s="505"/>
      <c r="N686" s="505"/>
      <c r="O686" s="505"/>
      <c r="P686" s="1"/>
      <c r="T686" s="110"/>
      <c r="U686" s="520" t="s">
        <v>109</v>
      </c>
      <c r="V686" s="520"/>
      <c r="W686" s="520"/>
      <c r="X686" s="520"/>
      <c r="Y686" s="520"/>
      <c r="Z686" s="139"/>
      <c r="AA686" s="145"/>
      <c r="AB686" s="194">
        <f>IFERROR(IF(Annexes!O27&gt;'Mon Entreprise'!K8,1-'Mon Entreprise'!M98/'Mon Entreprise'!I98,0),0)</f>
        <v>0</v>
      </c>
      <c r="AC686" s="1"/>
      <c r="AD686" s="1"/>
      <c r="AE686" s="13"/>
    </row>
    <row r="687" spans="2:31" ht="16.5" customHeight="1">
      <c r="B687" s="103"/>
      <c r="C687" s="505"/>
      <c r="D687" s="505"/>
      <c r="E687" s="505"/>
      <c r="F687" s="505"/>
      <c r="G687" s="505"/>
      <c r="H687" s="505"/>
      <c r="I687" s="505"/>
      <c r="J687" s="505"/>
      <c r="K687" s="505"/>
      <c r="L687" s="505"/>
      <c r="M687" s="505"/>
      <c r="N687" s="505"/>
      <c r="O687" s="505"/>
      <c r="P687" s="1"/>
      <c r="T687" s="110"/>
      <c r="U687" s="382"/>
      <c r="V687" s="382"/>
      <c r="W687" s="382"/>
      <c r="X687" s="382"/>
      <c r="Y687" s="382"/>
      <c r="Z687" s="139"/>
      <c r="AA687" s="145"/>
      <c r="AB687" s="194"/>
      <c r="AC687" s="1"/>
      <c r="AD687" s="1"/>
      <c r="AE687" s="13"/>
    </row>
    <row r="688" spans="2:31" ht="16.5" customHeight="1">
      <c r="B688" s="103"/>
      <c r="C688" s="505"/>
      <c r="D688" s="505"/>
      <c r="E688" s="505"/>
      <c r="F688" s="505"/>
      <c r="G688" s="505"/>
      <c r="H688" s="505"/>
      <c r="I688" s="505"/>
      <c r="J688" s="505"/>
      <c r="K688" s="505"/>
      <c r="L688" s="505"/>
      <c r="M688" s="505"/>
      <c r="N688" s="505"/>
      <c r="O688" s="505"/>
      <c r="P688" s="1"/>
      <c r="T688" s="110"/>
      <c r="U688" s="382"/>
      <c r="V688" s="382"/>
      <c r="W688" s="382"/>
      <c r="X688" s="382"/>
      <c r="Y688" s="382"/>
      <c r="Z688" s="139"/>
      <c r="AA688" s="145"/>
      <c r="AB688" s="194"/>
      <c r="AC688" s="1"/>
      <c r="AD688" s="1"/>
      <c r="AE688" s="13"/>
    </row>
    <row r="689" spans="1:31" ht="16.5" customHeight="1">
      <c r="B689" s="103"/>
      <c r="C689" s="505"/>
      <c r="D689" s="505"/>
      <c r="E689" s="505"/>
      <c r="F689" s="505"/>
      <c r="G689" s="505"/>
      <c r="H689" s="505"/>
      <c r="I689" s="505"/>
      <c r="J689" s="505"/>
      <c r="K689" s="505"/>
      <c r="L689" s="505"/>
      <c r="M689" s="505"/>
      <c r="N689" s="505"/>
      <c r="O689" s="505"/>
      <c r="P689" s="1"/>
      <c r="T689" s="14"/>
      <c r="U689" s="521" t="s">
        <v>8</v>
      </c>
      <c r="V689" s="521"/>
      <c r="W689" s="521"/>
      <c r="X689" s="521"/>
      <c r="Y689" s="521"/>
      <c r="Z689" s="1"/>
      <c r="AA689" s="14"/>
      <c r="AB689" s="381" t="str">
        <f>IF((AND(Annexes!F5&gt;1,Annexes!F5&lt;=Annexes!H6,AB696&gt;=0.1)),"OUI","NON")</f>
        <v>NON</v>
      </c>
      <c r="AC689" s="1"/>
      <c r="AD689" s="1"/>
      <c r="AE689" s="13"/>
    </row>
    <row r="690" spans="1:31" ht="22.5" customHeight="1">
      <c r="B690" s="103"/>
      <c r="D690" s="564" t="s">
        <v>513</v>
      </c>
      <c r="E690" s="564"/>
      <c r="F690" s="564"/>
      <c r="G690" s="564"/>
      <c r="H690" s="564"/>
      <c r="I690" s="564"/>
      <c r="J690" s="564"/>
      <c r="K690" s="564"/>
      <c r="L690" s="564"/>
      <c r="M690" s="564"/>
      <c r="N690" s="564"/>
      <c r="O690" s="564"/>
      <c r="P690" s="1"/>
      <c r="T690" s="14"/>
      <c r="U690" s="383"/>
      <c r="V690" s="383"/>
      <c r="W690" s="383"/>
      <c r="X690" s="383"/>
      <c r="Y690" s="383" t="s">
        <v>9</v>
      </c>
      <c r="Z690" s="1"/>
      <c r="AA690" s="14"/>
      <c r="AB690" s="381" t="str">
        <f>IF(AND(Annexes!F7&gt;1,Annexes!F7&lt;=Annexes!H8,AB696&gt;=0.1),"OUI","NON")</f>
        <v>NON</v>
      </c>
      <c r="AC690" s="1"/>
      <c r="AD690" s="1"/>
      <c r="AE690" s="13"/>
    </row>
    <row r="691" spans="1:31" ht="16.5" customHeight="1">
      <c r="B691" s="103"/>
      <c r="C691" s="387"/>
      <c r="D691" s="306"/>
      <c r="E691" s="522" t="str">
        <f>IF(AB694="NON","",IF(OR(AB689="OUI",AB691="OUI",AND(AB690="OUI",OR(AB684&gt;=Annexes!P5,AB685&gt;=Annexes!P5,'Mes Aides'!AB145&gt;=0.1))),"",IF(AND(AB690="OUI",OR(AB684&lt;Annexes!P5,AB685&lt;Annexes!P5,'Mes Aides'!AB198&lt;0.1)),"L'entreprise fait partie des entreprises mentionnées en annexe 2 du décret mais n'a pas eu une perte de CA d'au-Moins 80 %, entre le 15/03/2020 et le 15/05/2020 ou Novembre 2020 ou 10 % entre 2019 et 2020","L'entreprise ne fait pas partie des activités mentionnées aux annexes 1, 2 ou domicilé dans une des îles d'outre-mer.")))</f>
        <v>L'entreprise ne fait pas partie des activités mentionnées aux annexes 1, 2 ou domicilé dans une des îles d'outre-mer.</v>
      </c>
      <c r="F691" s="522"/>
      <c r="G691" s="522"/>
      <c r="H691" s="522"/>
      <c r="I691" s="522"/>
      <c r="J691" s="522"/>
      <c r="K691" s="522"/>
      <c r="L691" s="522"/>
      <c r="M691" s="522"/>
      <c r="N691" s="522"/>
      <c r="O691" s="522"/>
      <c r="P691" s="1"/>
      <c r="T691" s="491" t="s">
        <v>474</v>
      </c>
      <c r="U691" s="490"/>
      <c r="V691" s="490"/>
      <c r="W691" s="490"/>
      <c r="X691" s="490"/>
      <c r="Y691" s="490"/>
      <c r="Z691" s="1"/>
      <c r="AA691" s="14"/>
      <c r="AB691" s="381" t="str">
        <f>IF(AND(Annexes!M24=TRUE,AB696&lt;0.85),"OUI","NON")</f>
        <v>NON</v>
      </c>
      <c r="AC691" s="1"/>
      <c r="AD691" s="1"/>
      <c r="AE691" s="13"/>
    </row>
    <row r="692" spans="1:31" ht="16.5" customHeight="1">
      <c r="B692" s="103"/>
      <c r="C692" s="387"/>
      <c r="D692" s="306"/>
      <c r="E692" s="522"/>
      <c r="F692" s="522"/>
      <c r="G692" s="522"/>
      <c r="H692" s="522"/>
      <c r="I692" s="522"/>
      <c r="J692" s="522"/>
      <c r="K692" s="522"/>
      <c r="L692" s="522"/>
      <c r="M692" s="522"/>
      <c r="N692" s="522"/>
      <c r="O692" s="522"/>
      <c r="P692" s="1"/>
      <c r="T692" s="491" t="s">
        <v>509</v>
      </c>
      <c r="U692" s="490"/>
      <c r="V692" s="490"/>
      <c r="W692" s="490"/>
      <c r="X692" s="490"/>
      <c r="Y692" s="490"/>
      <c r="Z692" s="1"/>
      <c r="AA692" s="14"/>
      <c r="AB692" s="381" t="b">
        <f>IF(OR(AND(Annexes!M41=TRUE,AB696&gt;=0.2),AND(Annexes!M42=TRUE,AB696&gt;=0.5)),TRUE,FALSE)</f>
        <v>0</v>
      </c>
      <c r="AC692" s="1"/>
      <c r="AD692" s="1"/>
      <c r="AE692" s="13"/>
    </row>
    <row r="693" spans="1:31" ht="16.5" customHeight="1">
      <c r="A693" s="99"/>
      <c r="B693" s="103"/>
      <c r="C693" s="387"/>
      <c r="D693" s="523" t="str">
        <f>IFERROR(IF('Mon Entreprise'!K8&gt;=Annexes!O20,IF(AB662&gt;=AB664,"- Le CA de référence est celui de Septembre 2019, soit une perte de "&amp;ROUND(AB662,0)&amp;" €"&amp;" ==&gt; "&amp;ROUND(AE662*100,0)&amp;" %","- Le CA de référence est celui de la création, soit une perte de "&amp;ROUND(AB664,0)&amp;" €"&amp;" ==&gt; "&amp;ROUND(AE664*100,0)&amp;" %"),IF(AB662&gt;=AB663,"- Le CA de référence est celui de Septembre 2019, soit une perte de "&amp;ROUND(AB662,0)&amp;" €"&amp;" ==&gt; "&amp;ROUND(AE662*100,0)&amp;" %","- Le CA de référence est celui de l'exercice 2019, soit une perte de "&amp;ROUND(AB663,0)&amp;" €"&amp;" ==&gt; "&amp;ROUND(AE663*100,0)&amp;" %")),"")</f>
        <v>- Le CA de référence est celui de Septembre 2019, soit une perte de 0 € ==&gt; 0 %</v>
      </c>
      <c r="E693" s="523"/>
      <c r="F693" s="523"/>
      <c r="G693" s="523"/>
      <c r="H693" s="523"/>
      <c r="I693" s="523"/>
      <c r="J693" s="523"/>
      <c r="K693" s="523"/>
      <c r="L693" s="523"/>
      <c r="M693" s="523"/>
      <c r="N693" s="523"/>
      <c r="O693" s="523"/>
      <c r="P693" s="1"/>
      <c r="T693" s="14"/>
      <c r="U693" s="381"/>
      <c r="V693" s="381"/>
      <c r="W693" s="381"/>
      <c r="X693" s="381"/>
      <c r="Y693" s="381" t="s">
        <v>505</v>
      </c>
      <c r="Z693" s="1"/>
      <c r="AA693" s="14"/>
      <c r="AB693" s="381" t="b">
        <f>IF(AND(Annexes!M43=TRUE,AB696&gt;=0.2),TRUE,FALSE)</f>
        <v>0</v>
      </c>
      <c r="AC693" s="1"/>
      <c r="AD693" s="1"/>
      <c r="AE693" s="13"/>
    </row>
    <row r="694" spans="1:31" ht="16.5" customHeight="1">
      <c r="A694" s="99"/>
      <c r="B694" s="103"/>
      <c r="C694" s="387"/>
      <c r="D694" s="524" t="str">
        <f>IFERROR(IF('Mon Entreprise'!K8&gt;=Annexes!O20,"",IF(AB662&lt;AB663,"A noter qu'il convient de choisir l'option retenue par l'entreprise lors de sa demande au titre du mois Février ou a défaut celui du mois de Mars, Avril, Mai, Juin, Juillet, ou Août 2021, si le CA de référence était celui de février (...) 2019,"&amp;" il convient de prendre celui de Septembre 2019, soit "&amp;ROUND(AB662,0)&amp;" €"&amp;" ==&gt; "&amp;ROUND(AE662*100,0)&amp;" %","A noter qu'il convient de choisir l'option retenue par l'entreprise lors de sa demande"&amp;" au titre du mois Février  ou a défaut celui du mois de Mars, Avril, Mai, Juin, Juillet ou Août 2021, si le CA de référence était celui de l'exercice 2019, il convient de prendre celui de l'exercie 2019, soit une perte de "&amp;ROUND(AB663,0)&amp;" €"&amp;" ==&gt; "&amp;ROUND(AE663*100,0)&amp;" %")),"")</f>
        <v>A noter qu'il convient de choisir l'option retenue par l'entreprise lors de sa demande au titre du mois Février  ou a défaut celui du mois de Mars, Avril, Mai, Juin, Juillet ou Août 2021, si le CA de référence était celui de l'exercice 2019, il convient de prendre celui de l'exercie 2019, soit une perte de 0 € ==&gt; 0 %</v>
      </c>
      <c r="E694" s="524"/>
      <c r="F694" s="524"/>
      <c r="G694" s="524"/>
      <c r="H694" s="524"/>
      <c r="I694" s="524"/>
      <c r="J694" s="524"/>
      <c r="K694" s="524"/>
      <c r="L694" s="524"/>
      <c r="M694" s="524"/>
      <c r="N694" s="524"/>
      <c r="O694" s="524"/>
      <c r="P694" s="1"/>
      <c r="T694" s="14"/>
      <c r="U694" s="525" t="s">
        <v>72</v>
      </c>
      <c r="V694" s="525"/>
      <c r="W694" s="525"/>
      <c r="X694" s="525"/>
      <c r="Y694" s="525"/>
      <c r="Z694" s="139"/>
      <c r="AA694" s="145"/>
      <c r="AB694" s="385" t="str">
        <f>IF(AB674="Oui","Oui","Non")</f>
        <v>Oui</v>
      </c>
      <c r="AC694" s="139"/>
      <c r="AD694" s="1"/>
      <c r="AE694" s="13"/>
    </row>
    <row r="695" spans="1:31" ht="16.5" customHeight="1">
      <c r="A695" s="99"/>
      <c r="B695" s="103"/>
      <c r="C695" s="387"/>
      <c r="D695" s="524"/>
      <c r="E695" s="524"/>
      <c r="F695" s="524"/>
      <c r="G695" s="524"/>
      <c r="H695" s="524"/>
      <c r="I695" s="524"/>
      <c r="J695" s="524"/>
      <c r="K695" s="524"/>
      <c r="L695" s="524"/>
      <c r="M695" s="524"/>
      <c r="N695" s="524"/>
      <c r="O695" s="524"/>
      <c r="P695" s="1"/>
      <c r="T695" s="14"/>
      <c r="U695" s="525" t="s">
        <v>84</v>
      </c>
      <c r="V695" s="525"/>
      <c r="W695" s="525"/>
      <c r="X695" s="525"/>
      <c r="Y695" s="525"/>
      <c r="Z695" s="139"/>
      <c r="AA695" s="145"/>
      <c r="AB695" s="385">
        <f>IF('Mon Entreprise'!K8&gt;=Annexes!O20,IF(AB662&gt;=AB664,AB662,AB664),IF(AB662&gt;=AB663,AB662,AB663))</f>
        <v>0</v>
      </c>
      <c r="AC695" s="139"/>
      <c r="AD695" s="1"/>
      <c r="AE695" s="13"/>
    </row>
    <row r="696" spans="1:31" ht="16.5" customHeight="1">
      <c r="B696" s="103"/>
      <c r="C696" s="387"/>
      <c r="D696" s="215"/>
      <c r="E696" s="377"/>
      <c r="F696" s="377"/>
      <c r="G696" s="377"/>
      <c r="H696" s="377"/>
      <c r="I696" s="377"/>
      <c r="J696" s="377"/>
      <c r="K696" s="377"/>
      <c r="L696" s="377"/>
      <c r="M696" s="377"/>
      <c r="N696" s="377"/>
      <c r="O696" s="377"/>
      <c r="P696" s="1"/>
      <c r="T696" s="14"/>
      <c r="U696" s="525" t="s">
        <v>85</v>
      </c>
      <c r="V696" s="525"/>
      <c r="W696" s="525"/>
      <c r="X696" s="525"/>
      <c r="Y696" s="525"/>
      <c r="Z696" s="139"/>
      <c r="AA696" s="145"/>
      <c r="AB696" s="385">
        <f>IF('Mon Entreprise'!K8&gt;=Annexes!O20,IF(AB662&gt;=AB664,AE662,AE664),IF(AB662&gt;=AB663,AE662,AE663))</f>
        <v>0</v>
      </c>
      <c r="AC696" s="139"/>
      <c r="AD696" s="1"/>
      <c r="AE696" s="13"/>
    </row>
    <row r="697" spans="1:31" ht="16.5" customHeight="1" thickBot="1">
      <c r="B697" s="103"/>
      <c r="C697" s="387"/>
      <c r="D697" s="377"/>
      <c r="E697" s="377"/>
      <c r="F697" s="377"/>
      <c r="G697" s="377"/>
      <c r="H697" s="377"/>
      <c r="I697" s="377"/>
      <c r="J697" s="377"/>
      <c r="K697" s="377"/>
      <c r="L697" s="377"/>
      <c r="M697" s="377"/>
      <c r="N697" s="377"/>
      <c r="O697" s="377"/>
      <c r="P697" s="1"/>
      <c r="T697" s="14"/>
      <c r="U697" s="502" t="s">
        <v>74</v>
      </c>
      <c r="V697" s="502"/>
      <c r="W697" s="502"/>
      <c r="X697" s="502"/>
      <c r="Y697" s="502"/>
      <c r="Z697" s="139"/>
      <c r="AA697" s="145"/>
      <c r="AB697" s="385">
        <v>1</v>
      </c>
      <c r="AC697" s="139"/>
      <c r="AD697" s="1"/>
      <c r="AE697" s="13"/>
    </row>
    <row r="698" spans="1:31" ht="16.5" customHeight="1">
      <c r="B698" s="103"/>
      <c r="C698" s="387"/>
      <c r="D698" s="527" t="str">
        <f>IFERROR(IF(AB694="NON","Vous avez débuté votre activité après le 31 Janvier 2020, vous ne pouvez donc pas bénéficier de cette aide",IF(OR(AB689="OUI",AB691="OUI",AND(AB690="OUI",OR(AB684&lt;Annexes!P5,AB685&lt;Annexes!P5,'Mes Aides'!AB198&lt;0.1))),IF(AND(0.2*AB699&gt;Annexes!O8,0.2*AB698&gt;Annexes!O8),"Dans votre cas, l'aide est plafonnée, à "&amp;Annexes!O8&amp;" € pour le mois de Septembre",IF(0.2*AB699&gt;=0.2*AB698,"Dans votre cas, 20 % de la perte est supérieur à 20 % du CA, l'aide est donc plafonnée à 20 % du CA, soit "&amp;ROUND(0.2*AB698,0)&amp;" € pour le mois de Septembre","Dans votre cas, 20% de la perte est inférieure à 20 % du CA, l'aide est donc plafonnée à 20 % de la perte, soit "&amp;ROUND(0.2*AB699,0)&amp;" € pour le mois de Septembre")),"Vous ne faites pas partie des entreprises ayant leur activité mentionnée en annexe 1, ou en annexe 2, avec une perte de CA "&amp;"d'au moins 80 % entre le 15/03/2020 et le 15/05/2020 ou au mois de Novembre 2020 ou une perte de 10 % entre 2019 et 2020, ou domicilié dans les îles d'outre-mer")),"Vous n'avez pas indiqué de chiffre d'affaires de référence")</f>
        <v>Vous ne faites pas partie des entreprises ayant leur activité mentionnée en annexe 1, ou en annexe 2, avec une perte de CA d'au moins 80 % entre le 15/03/2020 et le 15/05/2020 ou au mois de Novembre 2020 ou une perte de 10 % entre 2019 et 2020, ou domicilié dans les îles d'outre-mer</v>
      </c>
      <c r="E698" s="509"/>
      <c r="F698" s="509"/>
      <c r="G698" s="509"/>
      <c r="H698" s="509"/>
      <c r="I698" s="509"/>
      <c r="J698" s="509"/>
      <c r="K698" s="509"/>
      <c r="L698" s="509"/>
      <c r="M698" s="509"/>
      <c r="N698" s="509"/>
      <c r="O698" s="510"/>
      <c r="P698" s="1"/>
      <c r="T698" s="14"/>
      <c r="U698" s="502" t="s">
        <v>80</v>
      </c>
      <c r="V698" s="502"/>
      <c r="W698" s="502"/>
      <c r="X698" s="502"/>
      <c r="Y698" s="502"/>
      <c r="Z698" s="139"/>
      <c r="AA698" s="145"/>
      <c r="AB698" s="385">
        <f>IF('Mon Entreprise'!K8&gt;=Annexes!O20,IF(AB662&gt;=AB664,Y662,Y664),IF(AB662&gt;=AB663,Y662,Y663))</f>
        <v>0</v>
      </c>
      <c r="AC698" s="139"/>
      <c r="AD698" s="1"/>
      <c r="AE698" s="13"/>
    </row>
    <row r="699" spans="1:31" ht="16.5" customHeight="1">
      <c r="B699" s="173"/>
      <c r="C699" s="387"/>
      <c r="D699" s="511"/>
      <c r="E699" s="512"/>
      <c r="F699" s="512"/>
      <c r="G699" s="512"/>
      <c r="H699" s="512"/>
      <c r="I699" s="512"/>
      <c r="J699" s="512"/>
      <c r="K699" s="512"/>
      <c r="L699" s="512"/>
      <c r="M699" s="512"/>
      <c r="N699" s="512"/>
      <c r="O699" s="513"/>
      <c r="P699" s="1"/>
      <c r="T699" s="14"/>
      <c r="U699" s="490" t="s">
        <v>104</v>
      </c>
      <c r="V699" s="490"/>
      <c r="W699" s="490"/>
      <c r="X699" s="490"/>
      <c r="Y699" s="490"/>
      <c r="Z699" s="1"/>
      <c r="AA699" s="14"/>
      <c r="AB699" s="381">
        <f>IF(AB697=1,AB695,IF(AB695*AB697&gt;1500,IF(AB695&gt;1500,AB695*AB697,"Impossible"),IF(AB695&lt;1500,AB695,1500)))</f>
        <v>0</v>
      </c>
      <c r="AC699" s="1"/>
      <c r="AD699" s="1"/>
      <c r="AE699" s="13"/>
    </row>
    <row r="700" spans="1:31" ht="16.5" customHeight="1">
      <c r="B700" s="103"/>
      <c r="C700" s="387"/>
      <c r="D700" s="511"/>
      <c r="E700" s="512"/>
      <c r="F700" s="512"/>
      <c r="G700" s="512"/>
      <c r="H700" s="512"/>
      <c r="I700" s="512"/>
      <c r="J700" s="512"/>
      <c r="K700" s="512"/>
      <c r="L700" s="512"/>
      <c r="M700" s="512"/>
      <c r="N700" s="512"/>
      <c r="O700" s="513"/>
      <c r="P700" s="1"/>
      <c r="T700" s="14"/>
      <c r="U700" s="381"/>
      <c r="V700" s="381"/>
      <c r="W700" s="381"/>
      <c r="X700" s="381"/>
      <c r="Y700" s="381"/>
      <c r="Z700" s="1"/>
      <c r="AA700" s="1"/>
      <c r="AB700" s="1"/>
      <c r="AC700" s="1"/>
      <c r="AD700" s="1"/>
      <c r="AE700" s="13"/>
    </row>
    <row r="701" spans="1:31" ht="16.5" customHeight="1" thickBot="1">
      <c r="B701" s="103"/>
      <c r="C701" s="387"/>
      <c r="D701" s="514"/>
      <c r="E701" s="515"/>
      <c r="F701" s="515"/>
      <c r="G701" s="515"/>
      <c r="H701" s="515"/>
      <c r="I701" s="515"/>
      <c r="J701" s="515"/>
      <c r="K701" s="515"/>
      <c r="L701" s="515"/>
      <c r="M701" s="515"/>
      <c r="N701" s="515"/>
      <c r="O701" s="516"/>
      <c r="P701" s="1"/>
      <c r="T701" s="14"/>
      <c r="U701" s="490"/>
      <c r="V701" s="490"/>
      <c r="W701" s="490"/>
      <c r="X701" s="490"/>
      <c r="Y701" s="490"/>
      <c r="Z701" s="1"/>
      <c r="AA701" s="1"/>
      <c r="AB701" s="1"/>
      <c r="AC701" s="1"/>
      <c r="AD701" s="1"/>
      <c r="AE701" s="13"/>
    </row>
    <row r="702" spans="1:31" ht="16.5" customHeight="1">
      <c r="B702" s="103"/>
      <c r="C702" s="387"/>
      <c r="D702" s="565" t="s">
        <v>528</v>
      </c>
      <c r="E702" s="565"/>
      <c r="F702" s="565"/>
      <c r="G702" s="565"/>
      <c r="H702" s="565"/>
      <c r="I702" s="565"/>
      <c r="J702" s="565"/>
      <c r="K702" s="565"/>
      <c r="L702" s="565"/>
      <c r="M702" s="565"/>
      <c r="N702" s="565"/>
      <c r="O702" s="565"/>
      <c r="P702" s="1"/>
      <c r="T702" s="14"/>
      <c r="U702" s="381"/>
      <c r="V702" s="381"/>
      <c r="W702" s="381"/>
      <c r="X702" s="381"/>
      <c r="Y702" s="381"/>
      <c r="Z702" s="1"/>
      <c r="AA702" s="1"/>
      <c r="AB702" s="1"/>
      <c r="AC702" s="1"/>
      <c r="AD702" s="1"/>
      <c r="AE702" s="13"/>
    </row>
    <row r="703" spans="1:31" ht="16.5" customHeight="1">
      <c r="B703" s="103"/>
      <c r="C703" s="169"/>
      <c r="D703" s="174"/>
      <c r="E703" s="174"/>
      <c r="F703" s="174"/>
      <c r="G703" s="174"/>
      <c r="H703" s="174"/>
      <c r="I703" s="174"/>
      <c r="J703" s="174"/>
      <c r="K703" s="174"/>
      <c r="L703" s="174"/>
      <c r="M703" s="174"/>
      <c r="N703" s="174"/>
      <c r="O703" s="174"/>
      <c r="P703" s="1"/>
      <c r="T703" s="14"/>
      <c r="U703" s="381"/>
      <c r="V703" s="381"/>
      <c r="W703" s="381"/>
      <c r="X703" s="381"/>
      <c r="Y703" s="381"/>
      <c r="Z703" s="1"/>
      <c r="AA703" s="1"/>
      <c r="AB703" s="1"/>
      <c r="AC703" s="1"/>
      <c r="AD703" s="1"/>
      <c r="AE703" s="13"/>
    </row>
    <row r="704" spans="1:31" ht="16.5" customHeight="1">
      <c r="B704" s="103"/>
      <c r="C704" s="387"/>
      <c r="D704" s="377"/>
      <c r="E704" s="377"/>
      <c r="F704" s="377"/>
      <c r="G704" s="377"/>
      <c r="H704" s="377"/>
      <c r="I704" s="377"/>
      <c r="J704" s="377"/>
      <c r="K704" s="377"/>
      <c r="L704" s="377"/>
      <c r="M704" s="377"/>
      <c r="N704" s="377"/>
      <c r="O704" s="377"/>
      <c r="P704" s="1"/>
      <c r="T704" s="14"/>
      <c r="U704" s="1"/>
      <c r="V704" s="1"/>
      <c r="W704" s="1"/>
      <c r="X704" s="1"/>
      <c r="Y704" s="1"/>
      <c r="Z704" s="1"/>
      <c r="AA704" s="1"/>
      <c r="AB704" s="1"/>
      <c r="AC704" s="1"/>
      <c r="AD704" s="1"/>
      <c r="AE704" s="13"/>
    </row>
    <row r="705" spans="2:31" ht="16.5" customHeight="1">
      <c r="B705" s="103"/>
      <c r="C705" s="529" t="s">
        <v>511</v>
      </c>
      <c r="D705" s="529"/>
      <c r="E705" s="529"/>
      <c r="F705" s="529"/>
      <c r="G705" s="529"/>
      <c r="H705" s="529"/>
      <c r="I705" s="529"/>
      <c r="J705" s="529"/>
      <c r="K705" s="529"/>
      <c r="L705" s="529"/>
      <c r="M705" s="529"/>
      <c r="N705" s="529"/>
      <c r="O705" s="529"/>
      <c r="P705" s="1"/>
      <c r="T705" s="14"/>
      <c r="U705" s="1"/>
      <c r="V705" s="1"/>
      <c r="W705" s="1"/>
      <c r="X705" s="1"/>
      <c r="Y705" s="1"/>
      <c r="Z705" s="1"/>
      <c r="AA705" s="1"/>
      <c r="AB705" s="1"/>
      <c r="AC705" s="1"/>
      <c r="AD705" s="1"/>
      <c r="AE705" s="13"/>
    </row>
    <row r="706" spans="2:31" ht="16.5" customHeight="1">
      <c r="B706" s="103"/>
      <c r="C706" s="529"/>
      <c r="D706" s="529"/>
      <c r="E706" s="529"/>
      <c r="F706" s="529"/>
      <c r="G706" s="529"/>
      <c r="H706" s="529"/>
      <c r="I706" s="529"/>
      <c r="J706" s="529"/>
      <c r="K706" s="529"/>
      <c r="L706" s="529"/>
      <c r="M706" s="529"/>
      <c r="N706" s="529"/>
      <c r="O706" s="529"/>
      <c r="P706" s="1"/>
      <c r="T706" s="14"/>
      <c r="U706" s="1"/>
      <c r="V706" s="1"/>
      <c r="W706" s="1"/>
      <c r="X706" s="1"/>
      <c r="Y706" s="1"/>
      <c r="Z706" s="1"/>
      <c r="AA706" s="1"/>
      <c r="AB706" s="1"/>
      <c r="AC706" s="1"/>
      <c r="AD706" s="1"/>
      <c r="AE706" s="13"/>
    </row>
    <row r="707" spans="2:31" ht="16.5" customHeight="1">
      <c r="B707" s="173"/>
      <c r="C707" s="387"/>
      <c r="D707" s="306"/>
      <c r="E707" s="528" t="str">
        <f>IF(AB694="NON","",IF(AB692=TRUE,"","L'entreprise n'a pas été en fermeture Administrative avec 20 % de perte de CA ou fermeture Administrative de 21 jours avec 50 % de perte  de CA"))</f>
        <v>L'entreprise n'a pas été en fermeture Administrative avec 20 % de perte de CA ou fermeture Administrative de 21 jours avec 50 % de perte  de CA</v>
      </c>
      <c r="F707" s="528"/>
      <c r="G707" s="528"/>
      <c r="H707" s="528"/>
      <c r="I707" s="528"/>
      <c r="J707" s="528"/>
      <c r="K707" s="528"/>
      <c r="L707" s="528"/>
      <c r="M707" s="528"/>
      <c r="N707" s="528"/>
      <c r="O707" s="528"/>
      <c r="P707" s="1"/>
      <c r="T707" s="14"/>
      <c r="U707" s="502" t="s">
        <v>82</v>
      </c>
      <c r="V707" s="502"/>
      <c r="W707" s="502"/>
      <c r="X707" s="502"/>
      <c r="Y707" s="502"/>
      <c r="Z707" s="68"/>
      <c r="AA707" s="1"/>
      <c r="AB707" s="1">
        <f>IFERROR(IF(AB674="Non",0,IF(AND(AB693=TRUE,AB677&gt;=0.5),IF(AB676&gt;Annexes!O5,Annexes!O5,ROUND(AB676,0)),0)),0)</f>
        <v>0</v>
      </c>
      <c r="AC707" s="1"/>
      <c r="AD707" s="1"/>
      <c r="AE707" s="13"/>
    </row>
    <row r="708" spans="2:31" ht="16.5" customHeight="1">
      <c r="B708" s="173"/>
      <c r="C708" s="387"/>
      <c r="D708" s="306"/>
      <c r="E708" s="528"/>
      <c r="F708" s="528"/>
      <c r="G708" s="528"/>
      <c r="H708" s="528"/>
      <c r="I708" s="528"/>
      <c r="J708" s="528"/>
      <c r="K708" s="528"/>
      <c r="L708" s="528"/>
      <c r="M708" s="528"/>
      <c r="N708" s="528"/>
      <c r="O708" s="528"/>
      <c r="P708" s="1"/>
      <c r="T708" s="14"/>
      <c r="U708" s="502" t="s">
        <v>478</v>
      </c>
      <c r="V708" s="502"/>
      <c r="W708" s="502"/>
      <c r="X708" s="502"/>
      <c r="Y708" s="502"/>
      <c r="Z708" s="68"/>
      <c r="AA708" s="1"/>
      <c r="AB708" s="1">
        <f>IFERROR(IF(AB694="NON",0,IF(OR(AB689="OUI",AB691="OUI",AND(AB690="OUI",OR(AB684&lt;Annexes!P5,AB685&lt;Annexes!P5,'Mes Aides'!AB198&lt;0.1))),IF(AND(0.2*AB699,0.2*AB698)&lt;Annexes!O8,Annexes!O8,IF(0.2*AB699&gt;=0.2*AB698,ROUND(0.2*AB698,0),ROUND(0.2*AB699,0))),0)),0)</f>
        <v>0</v>
      </c>
      <c r="AC708" s="1"/>
      <c r="AD708" s="1"/>
      <c r="AE708" s="13"/>
    </row>
    <row r="709" spans="2:31" ht="15" customHeight="1">
      <c r="B709" s="173"/>
      <c r="C709" s="387"/>
      <c r="D709" s="306"/>
      <c r="E709" s="353"/>
      <c r="F709" s="353"/>
      <c r="G709" s="353"/>
      <c r="H709" s="353"/>
      <c r="I709" s="353"/>
      <c r="J709" s="353"/>
      <c r="K709" s="353"/>
      <c r="L709" s="353"/>
      <c r="M709" s="353"/>
      <c r="N709" s="353"/>
      <c r="O709" s="353"/>
      <c r="P709" s="1"/>
      <c r="T709" s="14"/>
      <c r="U709" s="502" t="s">
        <v>478</v>
      </c>
      <c r="V709" s="502"/>
      <c r="W709" s="502"/>
      <c r="X709" s="502"/>
      <c r="Y709" s="502"/>
      <c r="Z709" s="68"/>
      <c r="AA709" s="1"/>
      <c r="AB709" s="1">
        <f>IFERROR(IF(AB694="NON",0,IF(AB692=TRUE,IF(AB698*0.2&gt;Annexes!O8,Annexes!O8,ROUND(AB698*0.2,0)),0)),0)</f>
        <v>0</v>
      </c>
      <c r="AC709" s="1"/>
      <c r="AD709" s="1"/>
      <c r="AE709" s="13"/>
    </row>
    <row r="710" spans="2:31" ht="15" customHeight="1">
      <c r="B710" s="173"/>
      <c r="C710" s="387"/>
      <c r="D710" s="417" t="str">
        <f>IFERROR(IF('Mon Entreprise'!K8&gt;=Annexes!O20,IF(AB662&gt;=AB664,"- Le CA de référence est celui de Septembre 2019, soit une perte de "&amp;ROUND(AB662,0)&amp;" €"&amp;" ==&gt; "&amp;ROUND(AE662*100,0)&amp;" %","- Le CA de référence est celui de la création, soit une perte de "&amp;ROUND(AB664,0)&amp;" €"&amp;" ==&gt; "&amp;ROUND(AE664*100,0)&amp;" %"),IF(AB662&gt;=AB663,"- Le CA de référence est celui de Septembre 2019, soit une perte de "&amp;ROUND(AB662,0)&amp;" €"&amp;" ==&gt; "&amp;ROUND(AE662*100,0)&amp;" %","- Le CA de référence est celui de l'exercice 2019, soit une perte de "&amp;ROUND(AB663,0)&amp;" €"&amp;" ==&gt; "&amp;ROUND(AE663*100,0)&amp;" %")),"")</f>
        <v>- Le CA de référence est celui de Septembre 2019, soit une perte de 0 € ==&gt; 0 %</v>
      </c>
      <c r="E710" s="417"/>
      <c r="F710" s="417"/>
      <c r="G710" s="417"/>
      <c r="H710" s="417"/>
      <c r="I710" s="417"/>
      <c r="J710" s="417"/>
      <c r="K710" s="417"/>
      <c r="L710" s="417"/>
      <c r="M710" s="417"/>
      <c r="N710" s="417"/>
      <c r="O710" s="417"/>
      <c r="P710" s="377"/>
      <c r="Q710" s="377"/>
      <c r="T710" s="14"/>
      <c r="U710" s="1"/>
      <c r="V710" s="1"/>
      <c r="W710" s="1"/>
      <c r="X710" s="1"/>
      <c r="Y710" s="1"/>
      <c r="Z710" s="1"/>
      <c r="AA710" s="1"/>
      <c r="AB710" s="1"/>
      <c r="AC710" s="1"/>
      <c r="AD710" s="1"/>
      <c r="AE710" s="13"/>
    </row>
    <row r="711" spans="2:31" ht="16.5" customHeight="1">
      <c r="B711" s="173"/>
      <c r="C711" s="387"/>
      <c r="D711" s="524" t="str">
        <f>IFERROR(IF('Mon Entreprise'!K8&gt;=Annexes!O20,"",IF(AB662&lt;AB663,"A noter qu'il convient de choisir l'option retenue par l'entreprise lors de"&amp;" sa demande au titre du mois Février ou a défaut celui du mois de Mars, Avril, Mai, Juin, Juillet ou d'Août 2021, si le CA de référence était celui de février (...) 2019, il convient"&amp;" de prendre celui de Septembre 2019 (...), soit "&amp;ROUND(AB662,0)&amp;" €"&amp;" ==&gt; "&amp;ROUND(AE662*100,0)&amp;" %","A noter qu'il convient de choisir l'option"&amp;" retenue par l'entreprise lors de sa demande au titre du mois Février "&amp;"ou a défaut celui du mois de Mars, d'Avril, Mai, Juin, Juillet ou Août 2021, si le CA de référence était celui de l'exercice 2019, il convient de prendre"&amp;" celui de l'exercie 2019, soit une perte de "&amp;ROUND(AB663,0)&amp;" €"&amp;" ==&gt; "&amp;ROUND(AE663*100,0)&amp;" %")),"")</f>
        <v>A noter qu'il convient de choisir l'option retenue par l'entreprise lors de sa demande au titre du mois Février ou a défaut celui du mois de Mars, d'Avril, Mai, Juin, Juillet ou Août 2021, si le CA de référence était celui de l'exercice 2019, il convient de prendre celui de l'exercie 2019, soit une perte de 0 € ==&gt; 0 %</v>
      </c>
      <c r="E711" s="524"/>
      <c r="F711" s="524"/>
      <c r="G711" s="524"/>
      <c r="H711" s="524"/>
      <c r="I711" s="524"/>
      <c r="J711" s="524"/>
      <c r="K711" s="524"/>
      <c r="L711" s="524"/>
      <c r="M711" s="524"/>
      <c r="N711" s="524"/>
      <c r="O711" s="524"/>
      <c r="P711" s="377"/>
      <c r="Q711" s="377"/>
      <c r="T711" s="14"/>
      <c r="U711" s="1"/>
      <c r="V711" s="1"/>
      <c r="W711" s="1"/>
      <c r="X711" s="1"/>
      <c r="Y711" s="1"/>
      <c r="Z711" s="1"/>
      <c r="AA711" s="1"/>
      <c r="AB711" s="1"/>
      <c r="AC711" s="1"/>
      <c r="AD711" s="1"/>
      <c r="AE711" s="13"/>
    </row>
    <row r="712" spans="2:31" ht="16.5" customHeight="1">
      <c r="B712" s="173"/>
      <c r="C712" s="387"/>
      <c r="D712" s="524"/>
      <c r="E712" s="524"/>
      <c r="F712" s="524"/>
      <c r="G712" s="524"/>
      <c r="H712" s="524"/>
      <c r="I712" s="524"/>
      <c r="J712" s="524"/>
      <c r="K712" s="524"/>
      <c r="L712" s="524"/>
      <c r="M712" s="524"/>
      <c r="N712" s="524"/>
      <c r="O712" s="524"/>
      <c r="P712" s="377"/>
      <c r="Q712" s="377"/>
      <c r="T712" s="14"/>
      <c r="U712" s="1"/>
      <c r="V712" s="1"/>
      <c r="W712" s="1"/>
      <c r="X712" s="1"/>
      <c r="Y712" s="1"/>
      <c r="Z712" s="1"/>
      <c r="AA712" s="1"/>
      <c r="AB712" s="1"/>
      <c r="AC712" s="1"/>
      <c r="AD712" s="1"/>
      <c r="AE712" s="13"/>
    </row>
    <row r="713" spans="2:31" ht="16.5" customHeight="1" thickBot="1">
      <c r="B713" s="168"/>
      <c r="C713" s="387"/>
      <c r="D713" s="205"/>
      <c r="E713" s="377"/>
      <c r="F713" s="377"/>
      <c r="G713" s="377"/>
      <c r="H713" s="377"/>
      <c r="I713" s="377"/>
      <c r="J713" s="377"/>
      <c r="K713" s="377"/>
      <c r="L713" s="377"/>
      <c r="M713" s="377"/>
      <c r="N713" s="377"/>
      <c r="O713" s="377"/>
      <c r="P713" s="377"/>
      <c r="Q713" s="377"/>
      <c r="T713" s="14"/>
      <c r="U713" s="1"/>
      <c r="V713" s="1"/>
      <c r="W713" s="1"/>
      <c r="X713" s="1"/>
      <c r="Y713" s="1"/>
      <c r="Z713" s="1"/>
      <c r="AA713" s="1"/>
      <c r="AB713" s="1"/>
      <c r="AC713" s="1"/>
      <c r="AD713" s="1"/>
      <c r="AE713" s="13"/>
    </row>
    <row r="714" spans="2:31" ht="16.5" customHeight="1">
      <c r="B714" s="103"/>
      <c r="C714" s="180"/>
      <c r="D714" s="526" t="str">
        <f>IFERROR(IF(AB694="NON","Vous avez débuté votre activité après le 31 Janvier 2020, vous ne pouvez donc pas bénéficier de cette aide",IF(AB692=TRUE,IF(AB698*0.2&gt;Annexes!O8,"Dans votre cas, l'aide est plafonnée, à "&amp;Annexes!O8&amp;" € pour le mois de Septembre","Dans votre cas, l'aide est plafonnée à 20 % du CA, soit "&amp;ROUND(AB698*0.2,0)&amp;" € pour le mois de Septembre"),"Vous ne faites pas partie des entreprises en fermeture Administrative avec 20 % de perte de CA ou fermeture Administrative avec 20 % de perte de CA ou en fermeture Administrative de 21 jours avec 50 % de perte de CA")),"Vous n'avez pas indiqué de chiffre d'affaires de référence")</f>
        <v>Vous ne faites pas partie des entreprises en fermeture Administrative avec 20 % de perte de CA ou fermeture Administrative avec 20 % de perte de CA ou en fermeture Administrative de 21 jours avec 50 % de perte de CA</v>
      </c>
      <c r="E714" s="509"/>
      <c r="F714" s="509"/>
      <c r="G714" s="509"/>
      <c r="H714" s="509"/>
      <c r="I714" s="509"/>
      <c r="J714" s="509"/>
      <c r="K714" s="509"/>
      <c r="L714" s="509"/>
      <c r="M714" s="509"/>
      <c r="N714" s="509"/>
      <c r="O714" s="510"/>
      <c r="P714" s="377"/>
      <c r="Q714" s="377"/>
      <c r="T714" s="14"/>
      <c r="U714" s="1"/>
      <c r="V714" s="1"/>
      <c r="W714" s="1"/>
      <c r="X714" s="1"/>
      <c r="Y714" s="1"/>
      <c r="Z714" s="1"/>
      <c r="AA714" s="1"/>
      <c r="AB714" s="1"/>
      <c r="AC714" s="1"/>
      <c r="AD714" s="1"/>
      <c r="AE714" s="13"/>
    </row>
    <row r="715" spans="2:31" ht="16.5" customHeight="1">
      <c r="B715" s="103"/>
      <c r="C715" s="180"/>
      <c r="D715" s="511"/>
      <c r="E715" s="512"/>
      <c r="F715" s="512"/>
      <c r="G715" s="512"/>
      <c r="H715" s="512"/>
      <c r="I715" s="512"/>
      <c r="J715" s="512"/>
      <c r="K715" s="512"/>
      <c r="L715" s="512"/>
      <c r="M715" s="512"/>
      <c r="N715" s="512"/>
      <c r="O715" s="513"/>
      <c r="P715" s="377"/>
      <c r="Q715" s="377"/>
      <c r="T715" s="14"/>
      <c r="U715" s="1"/>
      <c r="V715" s="1"/>
      <c r="W715" s="1"/>
      <c r="X715" s="1"/>
      <c r="Y715" s="1"/>
      <c r="Z715" s="1"/>
      <c r="AA715" s="1"/>
      <c r="AB715" s="1"/>
      <c r="AC715" s="1"/>
      <c r="AD715" s="1"/>
      <c r="AE715" s="13"/>
    </row>
    <row r="716" spans="2:31" ht="16.5" customHeight="1">
      <c r="B716" s="103"/>
      <c r="C716" s="180"/>
      <c r="D716" s="511"/>
      <c r="E716" s="512"/>
      <c r="F716" s="512"/>
      <c r="G716" s="512"/>
      <c r="H716" s="512"/>
      <c r="I716" s="512"/>
      <c r="J716" s="512"/>
      <c r="K716" s="512"/>
      <c r="L716" s="512"/>
      <c r="M716" s="512"/>
      <c r="N716" s="512"/>
      <c r="O716" s="513"/>
      <c r="P716" s="175"/>
      <c r="Q716" s="175"/>
      <c r="T716" s="14"/>
      <c r="U716" s="1"/>
      <c r="V716" s="1"/>
      <c r="W716" s="1"/>
      <c r="X716" s="1"/>
      <c r="Y716" s="1"/>
      <c r="Z716" s="1"/>
      <c r="AA716" s="1"/>
      <c r="AB716" s="1"/>
      <c r="AC716" s="1"/>
      <c r="AD716" s="1"/>
      <c r="AE716" s="13"/>
    </row>
    <row r="717" spans="2:31" ht="16.5" customHeight="1" thickBot="1">
      <c r="B717" s="103"/>
      <c r="C717" s="180"/>
      <c r="D717" s="514"/>
      <c r="E717" s="515"/>
      <c r="F717" s="515"/>
      <c r="G717" s="515"/>
      <c r="H717" s="515"/>
      <c r="I717" s="515"/>
      <c r="J717" s="515"/>
      <c r="K717" s="515"/>
      <c r="L717" s="515"/>
      <c r="M717" s="515"/>
      <c r="N717" s="515"/>
      <c r="O717" s="516"/>
      <c r="T717" s="14"/>
      <c r="U717" s="1"/>
      <c r="V717" s="1"/>
      <c r="W717" s="1"/>
      <c r="X717" s="1"/>
      <c r="Y717" s="1"/>
      <c r="Z717" s="1"/>
      <c r="AA717" s="1"/>
      <c r="AB717" s="1"/>
      <c r="AC717" s="1"/>
      <c r="AD717" s="1"/>
      <c r="AE717" s="13"/>
    </row>
    <row r="718" spans="2:31" ht="16.5" customHeight="1">
      <c r="B718" s="5"/>
      <c r="C718" s="5"/>
      <c r="D718" s="354"/>
      <c r="E718" s="354"/>
      <c r="F718" s="354"/>
      <c r="G718" s="354"/>
      <c r="H718" s="354"/>
      <c r="I718" s="354"/>
      <c r="J718" s="354"/>
      <c r="K718" s="354"/>
      <c r="L718" s="354"/>
      <c r="M718" s="354"/>
      <c r="N718" s="354"/>
      <c r="O718" s="354"/>
      <c r="P718" s="177"/>
      <c r="Q718" s="177"/>
      <c r="T718" s="14"/>
      <c r="U718" s="1"/>
      <c r="V718" s="1"/>
      <c r="W718" s="1"/>
      <c r="X718" s="1"/>
      <c r="Y718" s="1"/>
      <c r="Z718" s="1"/>
      <c r="AA718" s="1"/>
      <c r="AB718" s="1"/>
      <c r="AC718" s="1"/>
      <c r="AD718" s="1"/>
      <c r="AE718" s="13"/>
    </row>
    <row r="719" spans="2:31" ht="16.5" customHeight="1">
      <c r="B719" s="5"/>
      <c r="C719" s="5"/>
      <c r="D719" s="355"/>
      <c r="E719" s="355"/>
      <c r="F719" s="355"/>
      <c r="G719" s="355"/>
      <c r="H719" s="355"/>
      <c r="I719" s="355"/>
      <c r="J719" s="355"/>
      <c r="K719" s="355"/>
      <c r="L719" s="355"/>
      <c r="M719" s="355"/>
      <c r="N719" s="355"/>
      <c r="O719" s="355"/>
      <c r="P719" s="177"/>
      <c r="Q719" s="177"/>
      <c r="T719" s="14"/>
      <c r="U719" s="1"/>
      <c r="V719" s="1"/>
      <c r="W719" s="1"/>
      <c r="X719" s="1"/>
      <c r="Y719" s="1"/>
      <c r="Z719" s="1"/>
      <c r="AA719" s="1"/>
      <c r="AB719" s="1"/>
      <c r="AC719" s="1"/>
      <c r="AD719" s="1"/>
      <c r="AE719" s="13"/>
    </row>
    <row r="720" spans="2:31">
      <c r="D720" s="177"/>
      <c r="E720" s="177"/>
      <c r="F720" s="177"/>
      <c r="G720" s="177"/>
      <c r="H720" s="177"/>
      <c r="I720" s="177"/>
      <c r="J720" s="177"/>
      <c r="K720" s="177"/>
      <c r="L720" s="177"/>
      <c r="M720" s="177"/>
      <c r="N720" s="177"/>
      <c r="O720" s="177"/>
      <c r="P720" s="175"/>
      <c r="Q720" s="175"/>
      <c r="T720" s="14"/>
      <c r="U720" s="1"/>
      <c r="V720" s="1"/>
      <c r="W720" s="1"/>
      <c r="X720" s="1"/>
      <c r="Y720" s="1"/>
      <c r="Z720" s="1"/>
      <c r="AA720" s="1"/>
      <c r="AB720" s="1"/>
      <c r="AC720" s="1"/>
      <c r="AD720" s="1"/>
      <c r="AE720" s="13"/>
    </row>
    <row r="721" spans="4:31" ht="15" customHeight="1"/>
    <row r="722" spans="4:31">
      <c r="D722" s="380" t="s">
        <v>69</v>
      </c>
    </row>
    <row r="723" spans="4:31">
      <c r="D723" s="177"/>
      <c r="E723" s="177"/>
      <c r="F723" s="177"/>
      <c r="G723" s="177"/>
      <c r="H723" s="177"/>
      <c r="I723" s="177"/>
      <c r="J723" s="177"/>
      <c r="K723" s="177"/>
      <c r="L723" s="177"/>
      <c r="M723" s="177"/>
      <c r="N723" s="177"/>
      <c r="O723" s="177"/>
      <c r="P723" s="175"/>
      <c r="Q723" s="175"/>
      <c r="T723" s="14"/>
      <c r="U723" s="1"/>
      <c r="V723" s="1"/>
      <c r="W723" s="1"/>
      <c r="X723" s="1"/>
      <c r="Y723" s="1"/>
      <c r="Z723" s="1"/>
      <c r="AA723" s="1"/>
      <c r="AB723" s="1"/>
      <c r="AC723" s="1"/>
      <c r="AD723" s="1"/>
      <c r="AE723" s="13"/>
    </row>
    <row r="724" spans="4:31" ht="15" customHeight="1"/>
    <row r="725" spans="4:31">
      <c r="D725" s="380"/>
    </row>
  </sheetData>
  <sheetProtection password="C6BD" sheet="1" selectLockedCells="1" selectUnlockedCells="1"/>
  <mergeCells count="499">
    <mergeCell ref="U709:Y709"/>
    <mergeCell ref="D710:O710"/>
    <mergeCell ref="D711:O712"/>
    <mergeCell ref="D714:O717"/>
    <mergeCell ref="U697:Y697"/>
    <mergeCell ref="D698:O701"/>
    <mergeCell ref="U698:Y698"/>
    <mergeCell ref="U699:Y699"/>
    <mergeCell ref="U701:Y701"/>
    <mergeCell ref="D702:O702"/>
    <mergeCell ref="C705:O706"/>
    <mergeCell ref="E707:O708"/>
    <mergeCell ref="U707:Y707"/>
    <mergeCell ref="U708:Y708"/>
    <mergeCell ref="D690:O690"/>
    <mergeCell ref="E691:O692"/>
    <mergeCell ref="T691:Y691"/>
    <mergeCell ref="T692:Y692"/>
    <mergeCell ref="D693:O693"/>
    <mergeCell ref="D694:O695"/>
    <mergeCell ref="U694:Y694"/>
    <mergeCell ref="U695:Y695"/>
    <mergeCell ref="U696:Y696"/>
    <mergeCell ref="V675:Y675"/>
    <mergeCell ref="D676:O678"/>
    <mergeCell ref="U676:Y676"/>
    <mergeCell ref="U677:Y677"/>
    <mergeCell ref="D680:O683"/>
    <mergeCell ref="D684:O684"/>
    <mergeCell ref="T684:Y684"/>
    <mergeCell ref="U685:Y685"/>
    <mergeCell ref="C686:O689"/>
    <mergeCell ref="U686:Y686"/>
    <mergeCell ref="U689:Y689"/>
    <mergeCell ref="C658:H658"/>
    <mergeCell ref="C660:O660"/>
    <mergeCell ref="U660:W660"/>
    <mergeCell ref="T662:W662"/>
    <mergeCell ref="D663:O668"/>
    <mergeCell ref="T663:W663"/>
    <mergeCell ref="T664:W664"/>
    <mergeCell ref="D669:O670"/>
    <mergeCell ref="C673:O674"/>
    <mergeCell ref="U674:Y674"/>
    <mergeCell ref="D640:O640"/>
    <mergeCell ref="C643:O644"/>
    <mergeCell ref="E645:O646"/>
    <mergeCell ref="U645:Y645"/>
    <mergeCell ref="U646:Y646"/>
    <mergeCell ref="U647:Y647"/>
    <mergeCell ref="D648:O648"/>
    <mergeCell ref="D649:O650"/>
    <mergeCell ref="D652:O655"/>
    <mergeCell ref="D632:O633"/>
    <mergeCell ref="U632:Y632"/>
    <mergeCell ref="U633:Y633"/>
    <mergeCell ref="U634:Y634"/>
    <mergeCell ref="U635:Y635"/>
    <mergeCell ref="D636:O639"/>
    <mergeCell ref="U636:Y636"/>
    <mergeCell ref="U637:Y637"/>
    <mergeCell ref="U639:Y639"/>
    <mergeCell ref="U623:Y623"/>
    <mergeCell ref="C624:O627"/>
    <mergeCell ref="U624:Y624"/>
    <mergeCell ref="U627:Y627"/>
    <mergeCell ref="D628:O628"/>
    <mergeCell ref="E629:O630"/>
    <mergeCell ref="T629:Y629"/>
    <mergeCell ref="T630:Y630"/>
    <mergeCell ref="D631:O631"/>
    <mergeCell ref="D607:O608"/>
    <mergeCell ref="C611:O612"/>
    <mergeCell ref="U612:Y612"/>
    <mergeCell ref="V613:Y613"/>
    <mergeCell ref="D614:O616"/>
    <mergeCell ref="U614:Y614"/>
    <mergeCell ref="U615:Y615"/>
    <mergeCell ref="D618:O621"/>
    <mergeCell ref="D622:O622"/>
    <mergeCell ref="T622:Y622"/>
    <mergeCell ref="U585:Y585"/>
    <mergeCell ref="D586:O586"/>
    <mergeCell ref="D587:O588"/>
    <mergeCell ref="D590:O593"/>
    <mergeCell ref="C596:H596"/>
    <mergeCell ref="C598:O598"/>
    <mergeCell ref="U598:W598"/>
    <mergeCell ref="T600:W600"/>
    <mergeCell ref="D601:O606"/>
    <mergeCell ref="T601:W601"/>
    <mergeCell ref="T602:W602"/>
    <mergeCell ref="U575:Y575"/>
    <mergeCell ref="D576:O579"/>
    <mergeCell ref="U576:Y576"/>
    <mergeCell ref="U577:Y577"/>
    <mergeCell ref="U579:Y579"/>
    <mergeCell ref="C582:O582"/>
    <mergeCell ref="E583:O584"/>
    <mergeCell ref="U583:Y583"/>
    <mergeCell ref="U584:Y584"/>
    <mergeCell ref="D568:O568"/>
    <mergeCell ref="E569:O570"/>
    <mergeCell ref="T569:Y569"/>
    <mergeCell ref="U570:Y570"/>
    <mergeCell ref="D571:O571"/>
    <mergeCell ref="D572:O573"/>
    <mergeCell ref="U572:Y572"/>
    <mergeCell ref="U573:Y573"/>
    <mergeCell ref="U574:Y574"/>
    <mergeCell ref="V553:Y553"/>
    <mergeCell ref="D554:O556"/>
    <mergeCell ref="U554:Y554"/>
    <mergeCell ref="U555:Y555"/>
    <mergeCell ref="D558:O561"/>
    <mergeCell ref="D562:O562"/>
    <mergeCell ref="T562:Y562"/>
    <mergeCell ref="U563:Y563"/>
    <mergeCell ref="C564:O567"/>
    <mergeCell ref="U564:Y564"/>
    <mergeCell ref="U567:Y567"/>
    <mergeCell ref="C536:H536"/>
    <mergeCell ref="C538:O538"/>
    <mergeCell ref="U538:W538"/>
    <mergeCell ref="T540:W540"/>
    <mergeCell ref="D541:O546"/>
    <mergeCell ref="T541:W541"/>
    <mergeCell ref="T542:W542"/>
    <mergeCell ref="D547:O548"/>
    <mergeCell ref="C551:O552"/>
    <mergeCell ref="U552:Y552"/>
    <mergeCell ref="U214:Y214"/>
    <mergeCell ref="U215:Y215"/>
    <mergeCell ref="U216:Y216"/>
    <mergeCell ref="C214:O216"/>
    <mergeCell ref="E217:O218"/>
    <mergeCell ref="U207:Y207"/>
    <mergeCell ref="U208:Y208"/>
    <mergeCell ref="C200:O202"/>
    <mergeCell ref="T201:Y201"/>
    <mergeCell ref="U202:Y202"/>
    <mergeCell ref="E203:O204"/>
    <mergeCell ref="U203:Y203"/>
    <mergeCell ref="U204:Y204"/>
    <mergeCell ref="D205:O205"/>
    <mergeCell ref="U205:Y205"/>
    <mergeCell ref="U206:Y206"/>
    <mergeCell ref="D208:O211"/>
    <mergeCell ref="U210:Y210"/>
    <mergeCell ref="U198:Y198"/>
    <mergeCell ref="U199:Y199"/>
    <mergeCell ref="D183:O187"/>
    <mergeCell ref="U187:Y187"/>
    <mergeCell ref="V188:Y188"/>
    <mergeCell ref="U189:Y189"/>
    <mergeCell ref="U190:Y190"/>
    <mergeCell ref="D194:O197"/>
    <mergeCell ref="T196:Y196"/>
    <mergeCell ref="U197:Y197"/>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T77:W77"/>
    <mergeCell ref="T78:W78"/>
    <mergeCell ref="T79:W79"/>
    <mergeCell ref="U54:Y54"/>
    <mergeCell ref="C37:H37"/>
    <mergeCell ref="U40:W40"/>
    <mergeCell ref="D42:O46"/>
    <mergeCell ref="T42:W42"/>
    <mergeCell ref="T43:W43"/>
    <mergeCell ref="T44:W44"/>
    <mergeCell ref="T46:Y46"/>
    <mergeCell ref="U51:Y51"/>
    <mergeCell ref="U49:Y49"/>
    <mergeCell ref="U50:Y50"/>
    <mergeCell ref="U47:Y47"/>
    <mergeCell ref="U55:Y55"/>
    <mergeCell ref="U48:Y48"/>
    <mergeCell ref="C49:O50"/>
    <mergeCell ref="D52:O53"/>
    <mergeCell ref="U52:Y52"/>
    <mergeCell ref="U53:Y53"/>
    <mergeCell ref="D56:O59"/>
    <mergeCell ref="U60:Y60"/>
    <mergeCell ref="U61:Y61"/>
    <mergeCell ref="U62:Y62"/>
    <mergeCell ref="U56:Y56"/>
    <mergeCell ref="C62:O63"/>
    <mergeCell ref="D64:O65"/>
    <mergeCell ref="D69:O72"/>
    <mergeCell ref="U76:W76"/>
    <mergeCell ref="E110:O111"/>
    <mergeCell ref="U110:Y110"/>
    <mergeCell ref="U111:Y111"/>
    <mergeCell ref="D80:O83"/>
    <mergeCell ref="U82:Y82"/>
    <mergeCell ref="U83:Y83"/>
    <mergeCell ref="U84:Y84"/>
    <mergeCell ref="U85:Y85"/>
    <mergeCell ref="C87:H87"/>
    <mergeCell ref="C89:O89"/>
    <mergeCell ref="D92:O96"/>
    <mergeCell ref="U92:W92"/>
    <mergeCell ref="T94:W94"/>
    <mergeCell ref="T95:W95"/>
    <mergeCell ref="T96:W96"/>
    <mergeCell ref="U99:Y99"/>
    <mergeCell ref="U100:Y100"/>
    <mergeCell ref="U101:Y101"/>
    <mergeCell ref="U134:Y134"/>
    <mergeCell ref="V135:Y135"/>
    <mergeCell ref="U136:Y136"/>
    <mergeCell ref="U137:Y137"/>
    <mergeCell ref="D138:O141"/>
    <mergeCell ref="T143:Y143"/>
    <mergeCell ref="C144:O146"/>
    <mergeCell ref="U144:Y144"/>
    <mergeCell ref="U145:Y145"/>
    <mergeCell ref="U146:Y146"/>
    <mergeCell ref="D167:O170"/>
    <mergeCell ref="D171:O171"/>
    <mergeCell ref="B174:O175"/>
    <mergeCell ref="U177:W177"/>
    <mergeCell ref="C178:H178"/>
    <mergeCell ref="T179:W179"/>
    <mergeCell ref="C180:O180"/>
    <mergeCell ref="T180:W180"/>
    <mergeCell ref="T181:W181"/>
    <mergeCell ref="D102:O105"/>
    <mergeCell ref="T106:Y106"/>
    <mergeCell ref="U107:Y107"/>
    <mergeCell ref="C108:O109"/>
    <mergeCell ref="U109:Y109"/>
    <mergeCell ref="U104:Y104"/>
    <mergeCell ref="U108:Y108"/>
    <mergeCell ref="U112:Y112"/>
    <mergeCell ref="D115:O118"/>
    <mergeCell ref="U113:Y113"/>
    <mergeCell ref="U114:Y114"/>
    <mergeCell ref="C122:H122"/>
    <mergeCell ref="C124:O124"/>
    <mergeCell ref="U124:W124"/>
    <mergeCell ref="T126:W126"/>
    <mergeCell ref="D127:O131"/>
    <mergeCell ref="T127:W127"/>
    <mergeCell ref="T128:W128"/>
    <mergeCell ref="U115:Y115"/>
    <mergeCell ref="U118:Y118"/>
    <mergeCell ref="U117:Y117"/>
    <mergeCell ref="D119:O120"/>
    <mergeCell ref="U148:Y148"/>
    <mergeCell ref="D149:O149"/>
    <mergeCell ref="D152:O155"/>
    <mergeCell ref="C158:O160"/>
    <mergeCell ref="U160:Y160"/>
    <mergeCell ref="E161:O162"/>
    <mergeCell ref="U162:Y162"/>
    <mergeCell ref="D163:O163"/>
    <mergeCell ref="D164:O165"/>
    <mergeCell ref="U161:Y161"/>
    <mergeCell ref="U154:Y154"/>
    <mergeCell ref="U156:Y156"/>
    <mergeCell ref="U149:Y149"/>
    <mergeCell ref="U150:Y150"/>
    <mergeCell ref="U151:Y151"/>
    <mergeCell ref="U152:Y152"/>
    <mergeCell ref="U153:Y153"/>
    <mergeCell ref="E147:O148"/>
    <mergeCell ref="U147:Y147"/>
    <mergeCell ref="D219:O219"/>
    <mergeCell ref="D220:O221"/>
    <mergeCell ref="D223:O226"/>
    <mergeCell ref="C230:H230"/>
    <mergeCell ref="U231:W231"/>
    <mergeCell ref="C232:O232"/>
    <mergeCell ref="T233:W233"/>
    <mergeCell ref="T234:W234"/>
    <mergeCell ref="D235:O239"/>
    <mergeCell ref="T235:W235"/>
    <mergeCell ref="U241:Y241"/>
    <mergeCell ref="V242:Y242"/>
    <mergeCell ref="U243:Y243"/>
    <mergeCell ref="U244:Y244"/>
    <mergeCell ref="D246:O249"/>
    <mergeCell ref="D250:O250"/>
    <mergeCell ref="T250:Y250"/>
    <mergeCell ref="U252:Y252"/>
    <mergeCell ref="U251:Y251"/>
    <mergeCell ref="C252:O255"/>
    <mergeCell ref="U254:Y254"/>
    <mergeCell ref="C268:O271"/>
    <mergeCell ref="U271:Y271"/>
    <mergeCell ref="E272:O274"/>
    <mergeCell ref="D275:O275"/>
    <mergeCell ref="D276:O277"/>
    <mergeCell ref="D279:O282"/>
    <mergeCell ref="U258:Y258"/>
    <mergeCell ref="U259:Y259"/>
    <mergeCell ref="U260:Y260"/>
    <mergeCell ref="U261:Y261"/>
    <mergeCell ref="U262:Y262"/>
    <mergeCell ref="U263:Y263"/>
    <mergeCell ref="U264:Y264"/>
    <mergeCell ref="E256:O258"/>
    <mergeCell ref="T256:Y256"/>
    <mergeCell ref="U257:Y257"/>
    <mergeCell ref="D259:O259"/>
    <mergeCell ref="D262:O265"/>
    <mergeCell ref="U266:Y266"/>
    <mergeCell ref="U272:Y272"/>
    <mergeCell ref="U273:Y273"/>
    <mergeCell ref="C286:H286"/>
    <mergeCell ref="C288:O288"/>
    <mergeCell ref="U288:W288"/>
    <mergeCell ref="T290:W290"/>
    <mergeCell ref="D291:O296"/>
    <mergeCell ref="U301:Y301"/>
    <mergeCell ref="V302:Y302"/>
    <mergeCell ref="D303:O304"/>
    <mergeCell ref="U303:Y303"/>
    <mergeCell ref="U304:Y304"/>
    <mergeCell ref="T291:W291"/>
    <mergeCell ref="T292:W292"/>
    <mergeCell ref="D319:O319"/>
    <mergeCell ref="D320:O321"/>
    <mergeCell ref="U320:Y320"/>
    <mergeCell ref="D324:O327"/>
    <mergeCell ref="U327:Y327"/>
    <mergeCell ref="D306:O309"/>
    <mergeCell ref="D310:O310"/>
    <mergeCell ref="T310:Y310"/>
    <mergeCell ref="U311:Y311"/>
    <mergeCell ref="C312:O315"/>
    <mergeCell ref="U314:Y314"/>
    <mergeCell ref="E316:O318"/>
    <mergeCell ref="T316:Y316"/>
    <mergeCell ref="U317:Y317"/>
    <mergeCell ref="U324:Y324"/>
    <mergeCell ref="U325:Y325"/>
    <mergeCell ref="U318:Y318"/>
    <mergeCell ref="U321:Y321"/>
    <mergeCell ref="U322:Y322"/>
    <mergeCell ref="U323:Y323"/>
    <mergeCell ref="U312:Y312"/>
    <mergeCell ref="C330:O333"/>
    <mergeCell ref="E334:O336"/>
    <mergeCell ref="U334:Y334"/>
    <mergeCell ref="D337:O337"/>
    <mergeCell ref="D338:O339"/>
    <mergeCell ref="D340:O341"/>
    <mergeCell ref="D343:O346"/>
    <mergeCell ref="C350:H350"/>
    <mergeCell ref="C352:O352"/>
    <mergeCell ref="U352:W352"/>
    <mergeCell ref="D347:O348"/>
    <mergeCell ref="U335:Y335"/>
    <mergeCell ref="U336:Y336"/>
    <mergeCell ref="T354:W354"/>
    <mergeCell ref="D355:O360"/>
    <mergeCell ref="T355:W355"/>
    <mergeCell ref="T356:W356"/>
    <mergeCell ref="U365:Y365"/>
    <mergeCell ref="V366:Y366"/>
    <mergeCell ref="D367:O368"/>
    <mergeCell ref="U367:Y367"/>
    <mergeCell ref="U368:Y368"/>
    <mergeCell ref="D370:O373"/>
    <mergeCell ref="D374:O374"/>
    <mergeCell ref="T374:Y374"/>
    <mergeCell ref="U375:Y375"/>
    <mergeCell ref="C376:O379"/>
    <mergeCell ref="U376:Y376"/>
    <mergeCell ref="U378:Y378"/>
    <mergeCell ref="E380:O382"/>
    <mergeCell ref="T380:Y380"/>
    <mergeCell ref="U381:Y381"/>
    <mergeCell ref="U382:Y382"/>
    <mergeCell ref="D383:O383"/>
    <mergeCell ref="D384:O385"/>
    <mergeCell ref="U384:Y384"/>
    <mergeCell ref="U385:Y385"/>
    <mergeCell ref="D401:O401"/>
    <mergeCell ref="D402:O403"/>
    <mergeCell ref="D404:O405"/>
    <mergeCell ref="D407:O410"/>
    <mergeCell ref="U386:Y386"/>
    <mergeCell ref="U387:Y387"/>
    <mergeCell ref="D388:O391"/>
    <mergeCell ref="U388:Y388"/>
    <mergeCell ref="U389:Y389"/>
    <mergeCell ref="U391:Y391"/>
    <mergeCell ref="C394:O397"/>
    <mergeCell ref="E398:O400"/>
    <mergeCell ref="U398:Y398"/>
    <mergeCell ref="U399:Y399"/>
    <mergeCell ref="U400:Y400"/>
    <mergeCell ref="D411:O412"/>
    <mergeCell ref="C414:H414"/>
    <mergeCell ref="C416:O416"/>
    <mergeCell ref="U416:W416"/>
    <mergeCell ref="T418:W418"/>
    <mergeCell ref="D419:O424"/>
    <mergeCell ref="T419:W419"/>
    <mergeCell ref="T420:W420"/>
    <mergeCell ref="U429:Y429"/>
    <mergeCell ref="V430:Y430"/>
    <mergeCell ref="D431:O432"/>
    <mergeCell ref="U431:Y431"/>
    <mergeCell ref="U432:Y432"/>
    <mergeCell ref="D434:O437"/>
    <mergeCell ref="D438:O438"/>
    <mergeCell ref="T438:Y438"/>
    <mergeCell ref="U439:Y439"/>
    <mergeCell ref="C440:O443"/>
    <mergeCell ref="U440:Y440"/>
    <mergeCell ref="U442:Y442"/>
    <mergeCell ref="E444:O446"/>
    <mergeCell ref="T444:Y444"/>
    <mergeCell ref="U445:Y445"/>
    <mergeCell ref="U446:Y446"/>
    <mergeCell ref="D447:O447"/>
    <mergeCell ref="D448:O449"/>
    <mergeCell ref="U448:Y448"/>
    <mergeCell ref="U449:Y449"/>
    <mergeCell ref="U450:Y450"/>
    <mergeCell ref="D465:O465"/>
    <mergeCell ref="D466:O467"/>
    <mergeCell ref="D468:O469"/>
    <mergeCell ref="D471:O474"/>
    <mergeCell ref="D475:O476"/>
    <mergeCell ref="U451:Y451"/>
    <mergeCell ref="D452:O455"/>
    <mergeCell ref="U452:Y452"/>
    <mergeCell ref="U453:Y453"/>
    <mergeCell ref="U455:Y455"/>
    <mergeCell ref="C458:O461"/>
    <mergeCell ref="E462:O464"/>
    <mergeCell ref="U462:Y462"/>
    <mergeCell ref="U463:Y463"/>
    <mergeCell ref="U464:Y464"/>
    <mergeCell ref="C478:H478"/>
    <mergeCell ref="C480:O480"/>
    <mergeCell ref="U480:W480"/>
    <mergeCell ref="T482:W482"/>
    <mergeCell ref="D483:O488"/>
    <mergeCell ref="T483:W483"/>
    <mergeCell ref="T484:W484"/>
    <mergeCell ref="D489:O490"/>
    <mergeCell ref="C493:O494"/>
    <mergeCell ref="U494:Y494"/>
    <mergeCell ref="V495:Y495"/>
    <mergeCell ref="D496:O497"/>
    <mergeCell ref="U496:Y496"/>
    <mergeCell ref="U497:Y497"/>
    <mergeCell ref="D499:O502"/>
    <mergeCell ref="D503:O503"/>
    <mergeCell ref="T503:Y503"/>
    <mergeCell ref="U504:Y504"/>
    <mergeCell ref="U505:Y505"/>
    <mergeCell ref="C505:O508"/>
    <mergeCell ref="U508:Y508"/>
    <mergeCell ref="U513:Y513"/>
    <mergeCell ref="U514:Y514"/>
    <mergeCell ref="U515:Y515"/>
    <mergeCell ref="D509:O509"/>
    <mergeCell ref="E510:O511"/>
    <mergeCell ref="T510:Y510"/>
    <mergeCell ref="U511:Y511"/>
    <mergeCell ref="D512:O512"/>
    <mergeCell ref="D513:O514"/>
    <mergeCell ref="U526:Y526"/>
    <mergeCell ref="D527:O527"/>
    <mergeCell ref="D528:O529"/>
    <mergeCell ref="D531:O534"/>
    <mergeCell ref="U516:Y516"/>
    <mergeCell ref="U517:Y517"/>
    <mergeCell ref="U524:Y524"/>
    <mergeCell ref="U525:Y525"/>
    <mergeCell ref="D517:O520"/>
    <mergeCell ref="U518:Y518"/>
    <mergeCell ref="U520:Y520"/>
    <mergeCell ref="C523:O523"/>
    <mergeCell ref="E524:O525"/>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B1:AM242"/>
  <sheetViews>
    <sheetView showGridLines="0" workbookViewId="0">
      <selection activeCell="G16" sqref="G16"/>
    </sheetView>
  </sheetViews>
  <sheetFormatPr baseColWidth="10" defaultColWidth="9.140625" defaultRowHeight="15"/>
  <cols>
    <col min="2" max="2" width="2.7109375" customWidth="1"/>
    <col min="3" max="3" width="7.7109375" customWidth="1"/>
    <col min="4" max="4" width="13.7109375" customWidth="1"/>
    <col min="5" max="6" width="2.7109375" customWidth="1"/>
    <col min="11" max="13" width="9.140625" customWidth="1"/>
    <col min="15" max="15" width="10.140625" customWidth="1"/>
    <col min="16" max="22" width="9.140625" customWidth="1"/>
    <col min="23" max="23" width="9.5703125" bestFit="1" customWidth="1"/>
    <col min="25" max="28" width="9.140625" customWidth="1"/>
    <col min="29" max="29" width="9.5703125" bestFit="1" customWidth="1"/>
    <col min="31" max="33" width="9.140625" customWidth="1"/>
    <col min="35" max="35" width="9.140625" customWidth="1"/>
    <col min="36" max="36" width="11.140625" hidden="1" customWidth="1"/>
    <col min="37" max="38" width="15.28515625" hidden="1" customWidth="1"/>
    <col min="39" max="39" width="9.140625" hidden="1" customWidth="1"/>
    <col min="40" max="40" width="9.140625" customWidth="1"/>
  </cols>
  <sheetData>
    <row r="1" spans="3:33" ht="15.75" thickBot="1">
      <c r="D1" s="40"/>
      <c r="E1" s="40"/>
      <c r="F1" s="40"/>
      <c r="G1" s="40"/>
      <c r="H1" s="40"/>
      <c r="I1" s="40"/>
      <c r="J1" s="40"/>
      <c r="K1" s="40"/>
      <c r="L1" s="40"/>
      <c r="M1" s="40"/>
      <c r="N1" s="40"/>
      <c r="O1" s="40"/>
      <c r="P1" s="40"/>
      <c r="Q1" s="40"/>
    </row>
    <row r="2" spans="3:33" ht="15" customHeight="1">
      <c r="D2" s="40"/>
      <c r="E2" s="40"/>
      <c r="F2" s="40"/>
      <c r="G2" s="40"/>
      <c r="H2" s="40"/>
      <c r="I2" s="436" t="s">
        <v>14</v>
      </c>
      <c r="J2" s="437"/>
      <c r="K2" s="438"/>
      <c r="L2" s="591" t="str">
        <f>IF('Mon Entreprise'!$K$2="","",'Mon Entreprise'!$K$2)</f>
        <v/>
      </c>
      <c r="M2" s="592"/>
      <c r="N2" s="592"/>
      <c r="O2" s="592"/>
      <c r="P2" s="592"/>
      <c r="Q2" s="593"/>
    </row>
    <row r="3" spans="3:33" ht="15" customHeight="1">
      <c r="D3" s="40"/>
      <c r="E3" s="40"/>
      <c r="F3" s="40"/>
      <c r="G3" s="40"/>
      <c r="H3" s="40"/>
      <c r="I3" s="439"/>
      <c r="J3" s="440"/>
      <c r="K3" s="441"/>
      <c r="L3" s="594"/>
      <c r="M3" s="595"/>
      <c r="N3" s="595"/>
      <c r="O3" s="595"/>
      <c r="P3" s="595"/>
      <c r="Q3" s="596"/>
    </row>
    <row r="4" spans="3:33" ht="15" customHeight="1" thickBot="1">
      <c r="D4" s="40"/>
      <c r="E4" s="40"/>
      <c r="F4" s="40"/>
      <c r="G4" s="40"/>
      <c r="H4" s="40"/>
      <c r="I4" s="442"/>
      <c r="J4" s="443"/>
      <c r="K4" s="444"/>
      <c r="L4" s="597"/>
      <c r="M4" s="598"/>
      <c r="N4" s="598"/>
      <c r="O4" s="598"/>
      <c r="P4" s="598"/>
      <c r="Q4" s="599"/>
    </row>
    <row r="5" spans="3:33" ht="15" customHeight="1" thickBot="1">
      <c r="D5" s="40"/>
      <c r="E5" s="40"/>
      <c r="F5" s="40"/>
      <c r="G5" s="40"/>
      <c r="H5" s="40"/>
      <c r="I5" s="41"/>
      <c r="J5" s="41"/>
      <c r="K5" s="41"/>
      <c r="L5" s="42"/>
      <c r="M5" s="42"/>
      <c r="N5" s="42"/>
      <c r="O5" s="42"/>
      <c r="P5" s="42"/>
      <c r="Q5" s="42"/>
    </row>
    <row r="6" spans="3:33" ht="15" customHeight="1" thickBot="1">
      <c r="D6" s="40"/>
      <c r="E6" s="40"/>
      <c r="F6" s="40"/>
      <c r="G6" s="40"/>
      <c r="H6" s="40"/>
      <c r="I6" s="600" t="s">
        <v>55</v>
      </c>
      <c r="J6" s="601"/>
      <c r="K6" s="602"/>
      <c r="L6" s="589" t="str">
        <f>IF('Mon Entreprise'!$K$6="","",'Mon Entreprise'!$K$6)</f>
        <v/>
      </c>
      <c r="M6" s="620"/>
      <c r="N6" s="620"/>
      <c r="O6" s="620"/>
      <c r="P6" s="620"/>
      <c r="Q6" s="590"/>
    </row>
    <row r="7" spans="3:33" ht="15.75" thickBot="1">
      <c r="D7" s="40"/>
      <c r="E7" s="40"/>
      <c r="F7" s="40"/>
      <c r="G7" s="40"/>
      <c r="H7" s="40"/>
      <c r="I7" s="40"/>
      <c r="J7" s="40"/>
      <c r="K7" s="40"/>
      <c r="L7" s="40"/>
      <c r="M7" s="40"/>
      <c r="N7" s="40"/>
      <c r="O7" s="40"/>
      <c r="P7" s="40"/>
      <c r="Q7" s="40"/>
    </row>
    <row r="8" spans="3:33" ht="15.75" thickBot="1">
      <c r="D8" s="40"/>
      <c r="E8" s="40"/>
      <c r="F8" s="40"/>
      <c r="G8" s="40"/>
      <c r="H8" s="40"/>
      <c r="I8" s="586" t="s">
        <v>15</v>
      </c>
      <c r="J8" s="587"/>
      <c r="K8" s="588"/>
      <c r="L8" s="589" t="str">
        <f>IF('Mon Entreprise'!$K$8="","",'Mon Entreprise'!$K$8)</f>
        <v/>
      </c>
      <c r="M8" s="590"/>
      <c r="N8" s="468"/>
      <c r="O8" s="487"/>
      <c r="P8" s="487"/>
      <c r="Q8" s="487"/>
    </row>
    <row r="9" spans="3:33" ht="15" customHeight="1">
      <c r="D9" s="101"/>
      <c r="E9" s="101"/>
      <c r="F9" s="101"/>
      <c r="G9" s="101"/>
      <c r="H9" s="96"/>
      <c r="I9" s="96"/>
      <c r="J9" s="96"/>
      <c r="K9" s="96"/>
      <c r="L9" s="96"/>
      <c r="M9" s="96"/>
      <c r="N9" s="91"/>
      <c r="O9" s="91"/>
      <c r="P9" s="91"/>
      <c r="Q9" s="91"/>
      <c r="T9" s="99"/>
      <c r="U9" s="99"/>
      <c r="Z9" s="99"/>
      <c r="AA9" s="99"/>
      <c r="AF9" s="99"/>
      <c r="AG9" s="99"/>
    </row>
    <row r="10" spans="3:33" ht="15" customHeight="1">
      <c r="C10" s="280"/>
      <c r="D10" s="280"/>
      <c r="E10" s="280"/>
      <c r="F10" s="280"/>
      <c r="G10" s="280"/>
      <c r="H10" s="280"/>
      <c r="I10" s="280"/>
      <c r="J10" s="280"/>
      <c r="K10" s="280"/>
      <c r="L10" s="280"/>
      <c r="M10" s="280"/>
      <c r="N10" s="280"/>
      <c r="O10" s="280"/>
      <c r="P10" s="280"/>
      <c r="Q10" s="280"/>
      <c r="R10" s="280"/>
      <c r="S10" s="280"/>
      <c r="T10" s="280"/>
      <c r="U10" s="280"/>
      <c r="V10" s="280"/>
      <c r="W10" s="280"/>
      <c r="Y10" s="280"/>
      <c r="Z10" s="280"/>
      <c r="AA10" s="280"/>
      <c r="AB10" s="280"/>
      <c r="AC10" s="280"/>
      <c r="AE10" s="280"/>
      <c r="AF10" s="280"/>
      <c r="AG10" s="280"/>
    </row>
    <row r="11" spans="3:33" ht="15" customHeight="1">
      <c r="C11" s="576" t="s">
        <v>367</v>
      </c>
      <c r="D11" s="576"/>
      <c r="E11" s="576"/>
      <c r="F11" s="576"/>
      <c r="G11" s="576"/>
      <c r="H11" s="576"/>
      <c r="I11" s="576"/>
      <c r="J11" s="576"/>
      <c r="K11" s="576"/>
      <c r="L11" s="576"/>
      <c r="M11" s="576"/>
      <c r="N11" s="576"/>
      <c r="O11" s="576"/>
      <c r="P11" s="576"/>
      <c r="Q11" s="576"/>
      <c r="R11" s="576"/>
      <c r="S11" s="576"/>
      <c r="T11" s="576"/>
      <c r="U11" s="576"/>
      <c r="V11" s="576"/>
      <c r="W11" s="576"/>
    </row>
    <row r="12" spans="3:33" ht="15" customHeight="1">
      <c r="C12" s="394"/>
      <c r="D12" s="394"/>
      <c r="E12" s="394"/>
      <c r="F12" s="394"/>
      <c r="G12" s="394"/>
      <c r="H12" s="394"/>
      <c r="I12" s="394"/>
      <c r="J12" s="394"/>
      <c r="K12" s="394"/>
      <c r="L12" s="394"/>
      <c r="M12" s="394"/>
      <c r="N12" s="394"/>
      <c r="O12" s="394"/>
      <c r="P12" s="394"/>
      <c r="Q12" s="394"/>
      <c r="R12" s="394"/>
      <c r="S12" s="394"/>
      <c r="T12" s="394"/>
      <c r="U12" s="394"/>
      <c r="V12" s="394"/>
      <c r="W12" s="394"/>
      <c r="Y12" s="394"/>
      <c r="Z12" s="394"/>
      <c r="AA12" s="394"/>
      <c r="AB12" s="394"/>
      <c r="AC12" s="394"/>
      <c r="AE12" s="394"/>
      <c r="AF12" s="394"/>
      <c r="AG12" s="394"/>
    </row>
    <row r="13" spans="3:33" ht="15" customHeight="1">
      <c r="C13" s="576" t="s">
        <v>368</v>
      </c>
      <c r="D13" s="576"/>
      <c r="E13" s="576"/>
      <c r="F13" s="576"/>
      <c r="G13" s="576"/>
      <c r="H13" s="576"/>
      <c r="I13" s="576"/>
      <c r="J13" s="576"/>
      <c r="K13" s="576"/>
      <c r="L13" s="576"/>
      <c r="M13" s="576"/>
      <c r="N13" s="576"/>
      <c r="O13" s="576"/>
      <c r="P13" s="576"/>
      <c r="Q13" s="576"/>
      <c r="R13" s="576"/>
      <c r="S13" s="576"/>
      <c r="T13" s="576"/>
      <c r="U13" s="576"/>
      <c r="V13" s="576"/>
      <c r="W13" s="576"/>
    </row>
    <row r="14" spans="3:33" ht="15" customHeight="1">
      <c r="C14" s="576"/>
      <c r="D14" s="576"/>
      <c r="E14" s="576"/>
      <c r="F14" s="576"/>
      <c r="G14" s="576"/>
      <c r="H14" s="576"/>
      <c r="I14" s="576"/>
      <c r="J14" s="576"/>
      <c r="K14" s="576"/>
      <c r="L14" s="576"/>
      <c r="M14" s="576"/>
      <c r="N14" s="576"/>
      <c r="O14" s="576"/>
      <c r="P14" s="576"/>
      <c r="Q14" s="576"/>
      <c r="R14" s="576"/>
      <c r="S14" s="576"/>
      <c r="T14" s="576"/>
      <c r="U14" s="576"/>
      <c r="V14" s="576"/>
      <c r="W14" s="576"/>
    </row>
    <row r="15" spans="3:33" ht="15" customHeight="1">
      <c r="C15" s="276"/>
      <c r="D15" s="276"/>
      <c r="E15" s="276"/>
      <c r="F15" s="276"/>
      <c r="G15" s="276"/>
      <c r="H15" s="276"/>
      <c r="I15" s="276"/>
      <c r="J15" s="276"/>
      <c r="K15" s="276"/>
      <c r="L15" s="276"/>
      <c r="M15" s="276"/>
      <c r="N15" s="276"/>
      <c r="O15" s="276"/>
      <c r="P15" s="276"/>
      <c r="Q15" s="276"/>
      <c r="R15" s="276"/>
      <c r="S15" s="276"/>
      <c r="T15" s="276"/>
      <c r="U15" s="276"/>
      <c r="V15" s="276"/>
      <c r="W15" s="276"/>
      <c r="Y15" s="276"/>
      <c r="Z15" s="276"/>
      <c r="AA15" s="276"/>
      <c r="AB15" s="276"/>
      <c r="AC15" s="276"/>
      <c r="AE15" s="276"/>
      <c r="AF15" s="276"/>
      <c r="AG15" s="276"/>
    </row>
    <row r="16" spans="3:33" ht="15" customHeight="1">
      <c r="C16" s="607" t="s">
        <v>370</v>
      </c>
      <c r="D16" s="608"/>
      <c r="E16" s="608"/>
      <c r="F16" s="609"/>
      <c r="G16" s="316"/>
      <c r="H16" s="286"/>
      <c r="I16" s="423" t="s">
        <v>379</v>
      </c>
      <c r="J16" s="621"/>
      <c r="K16" s="611">
        <v>0</v>
      </c>
      <c r="L16" s="612"/>
      <c r="M16" s="286"/>
      <c r="N16" s="607" t="s">
        <v>433</v>
      </c>
      <c r="O16" s="608"/>
      <c r="P16" s="609"/>
      <c r="Q16" s="617">
        <v>0</v>
      </c>
      <c r="R16" s="618"/>
      <c r="W16" s="280"/>
      <c r="AC16" s="280"/>
    </row>
    <row r="17" spans="2:39">
      <c r="E17" s="44"/>
      <c r="F17" s="44"/>
      <c r="G17" s="44"/>
      <c r="H17" s="44"/>
      <c r="I17" s="44"/>
      <c r="J17" s="44"/>
      <c r="K17" s="44"/>
      <c r="L17" s="44"/>
      <c r="M17" s="44"/>
      <c r="N17" s="44"/>
      <c r="O17" s="44"/>
      <c r="P17" s="44"/>
      <c r="Q17" s="40"/>
      <c r="R17" s="40"/>
      <c r="S17" s="1"/>
      <c r="Y17" s="1"/>
      <c r="AE17" s="1"/>
    </row>
    <row r="18" spans="2:39" ht="15" customHeight="1">
      <c r="C18" s="607" t="s">
        <v>369</v>
      </c>
      <c r="D18" s="608"/>
      <c r="E18" s="608"/>
      <c r="F18" s="608"/>
      <c r="G18" s="608"/>
      <c r="J18" s="44"/>
      <c r="N18" s="44"/>
      <c r="O18" s="44"/>
      <c r="P18" s="44"/>
      <c r="Q18" s="40"/>
      <c r="R18" s="40"/>
      <c r="S18" s="1"/>
      <c r="Y18" s="1"/>
      <c r="AE18" s="1"/>
    </row>
    <row r="19" spans="2:39">
      <c r="G19" s="44"/>
      <c r="H19" s="44"/>
      <c r="I19" s="44"/>
      <c r="J19" s="44"/>
      <c r="K19" s="44"/>
      <c r="L19" s="44"/>
      <c r="M19" s="44"/>
      <c r="N19" s="44"/>
      <c r="O19" s="44"/>
      <c r="P19" s="44"/>
      <c r="Q19" s="40"/>
      <c r="R19" s="40"/>
      <c r="S19" s="1"/>
      <c r="Y19" s="1"/>
      <c r="AE19" s="1"/>
    </row>
    <row r="20" spans="2:39">
      <c r="G20" s="535" t="s">
        <v>301</v>
      </c>
      <c r="H20" s="535"/>
      <c r="I20" s="1"/>
      <c r="J20" s="606" t="s">
        <v>307</v>
      </c>
      <c r="K20" s="606"/>
      <c r="M20" s="606" t="s">
        <v>344</v>
      </c>
      <c r="N20" s="606"/>
      <c r="P20" s="606" t="s">
        <v>345</v>
      </c>
      <c r="Q20" s="606"/>
      <c r="S20" s="606" t="s">
        <v>346</v>
      </c>
      <c r="T20" s="606"/>
      <c r="V20" s="606" t="s">
        <v>347</v>
      </c>
      <c r="W20" s="606"/>
      <c r="Y20" s="606" t="s">
        <v>469</v>
      </c>
      <c r="Z20" s="606"/>
      <c r="AB20" s="606" t="s">
        <v>502</v>
      </c>
      <c r="AC20" s="606"/>
      <c r="AE20" s="606" t="s">
        <v>10</v>
      </c>
      <c r="AF20" s="606"/>
    </row>
    <row r="21" spans="2:39">
      <c r="H21" s="1"/>
      <c r="I21" s="1"/>
    </row>
    <row r="22" spans="2:39">
      <c r="C22" s="605" t="s">
        <v>348</v>
      </c>
      <c r="D22" s="605"/>
      <c r="G22" s="603">
        <v>0</v>
      </c>
      <c r="H22" s="604"/>
      <c r="J22" s="603">
        <v>0</v>
      </c>
      <c r="K22" s="604"/>
      <c r="M22" s="603">
        <v>0</v>
      </c>
      <c r="N22" s="604"/>
      <c r="P22" s="603">
        <v>0</v>
      </c>
      <c r="Q22" s="604"/>
      <c r="S22" s="603">
        <v>0</v>
      </c>
      <c r="T22" s="604"/>
      <c r="V22" s="603">
        <v>0</v>
      </c>
      <c r="W22" s="604"/>
      <c r="Y22" s="603">
        <v>0</v>
      </c>
      <c r="Z22" s="604"/>
      <c r="AB22" s="603">
        <v>0</v>
      </c>
      <c r="AC22" s="604"/>
      <c r="AE22" s="603">
        <v>0</v>
      </c>
      <c r="AF22" s="604"/>
      <c r="AJ22" s="3"/>
    </row>
    <row r="23" spans="2:39">
      <c r="H23" s="1"/>
      <c r="I23" s="1"/>
      <c r="P23" s="6"/>
      <c r="AJ23" s="281" t="s">
        <v>361</v>
      </c>
    </row>
    <row r="24" spans="2:39">
      <c r="B24" s="396" t="s">
        <v>349</v>
      </c>
      <c r="C24" s="605" t="s">
        <v>351</v>
      </c>
      <c r="D24" s="605"/>
      <c r="G24" s="603">
        <v>0</v>
      </c>
      <c r="H24" s="604"/>
      <c r="J24" s="603">
        <v>0</v>
      </c>
      <c r="K24" s="604"/>
      <c r="M24" s="603">
        <v>0</v>
      </c>
      <c r="N24" s="604"/>
      <c r="P24" s="603">
        <v>0</v>
      </c>
      <c r="Q24" s="604"/>
      <c r="S24" s="603">
        <v>0</v>
      </c>
      <c r="T24" s="604"/>
      <c r="V24" s="603">
        <v>0</v>
      </c>
      <c r="W24" s="604"/>
      <c r="Y24" s="603">
        <v>0</v>
      </c>
      <c r="Z24" s="604"/>
      <c r="AB24" s="603">
        <v>0</v>
      </c>
      <c r="AC24" s="604"/>
      <c r="AE24" s="603">
        <v>0</v>
      </c>
      <c r="AF24" s="604"/>
      <c r="AJ24" s="281" t="s">
        <v>362</v>
      </c>
    </row>
    <row r="25" spans="2:39">
      <c r="B25" s="396"/>
      <c r="C25" s="605"/>
      <c r="D25" s="605"/>
      <c r="P25" s="5"/>
    </row>
    <row r="26" spans="2:39">
      <c r="B26" s="396" t="s">
        <v>350</v>
      </c>
      <c r="C26" s="605" t="s">
        <v>352</v>
      </c>
      <c r="D26" s="605"/>
      <c r="G26" s="603">
        <v>0</v>
      </c>
      <c r="H26" s="604"/>
      <c r="J26" s="603">
        <v>0</v>
      </c>
      <c r="K26" s="604"/>
      <c r="M26" s="603">
        <v>0</v>
      </c>
      <c r="N26" s="604"/>
      <c r="P26" s="603">
        <v>0</v>
      </c>
      <c r="Q26" s="604"/>
      <c r="S26" s="603">
        <v>0</v>
      </c>
      <c r="T26" s="604"/>
      <c r="V26" s="603">
        <v>0</v>
      </c>
      <c r="W26" s="604"/>
      <c r="Y26" s="603">
        <v>0</v>
      </c>
      <c r="Z26" s="604"/>
      <c r="AB26" s="603">
        <v>0</v>
      </c>
      <c r="AC26" s="604"/>
      <c r="AE26" s="603">
        <v>0</v>
      </c>
      <c r="AF26" s="604"/>
    </row>
    <row r="27" spans="2:39">
      <c r="B27" s="396"/>
      <c r="C27" s="605"/>
      <c r="D27" s="605"/>
      <c r="AK27" t="s">
        <v>377</v>
      </c>
      <c r="AL27" t="s">
        <v>378</v>
      </c>
    </row>
    <row r="28" spans="2:39" ht="15" customHeight="1">
      <c r="B28" s="396" t="s">
        <v>350</v>
      </c>
      <c r="C28" s="610" t="s">
        <v>353</v>
      </c>
      <c r="D28" s="610"/>
      <c r="G28" s="603">
        <v>0</v>
      </c>
      <c r="H28" s="604"/>
      <c r="J28" s="603">
        <v>0</v>
      </c>
      <c r="K28" s="604"/>
      <c r="M28" s="603">
        <v>0</v>
      </c>
      <c r="N28" s="604"/>
      <c r="P28" s="603">
        <v>0</v>
      </c>
      <c r="Q28" s="604"/>
      <c r="S28" s="603">
        <v>0</v>
      </c>
      <c r="T28" s="604"/>
      <c r="V28" s="603">
        <v>0</v>
      </c>
      <c r="W28" s="604"/>
      <c r="Y28" s="603">
        <v>0</v>
      </c>
      <c r="Z28" s="604"/>
      <c r="AB28" s="603">
        <v>0</v>
      </c>
      <c r="AC28" s="604"/>
      <c r="AE28" s="603">
        <v>0</v>
      </c>
      <c r="AF28" s="604"/>
      <c r="AJ28" t="s">
        <v>372</v>
      </c>
      <c r="AK28" s="310">
        <f>IFERROR(IF($AM$28=0,0,IF($AM$28=1,IF(AND(G16&gt;=50,OR(K16&gt;=10000000,'Mon Entreprise'!M96&gt;=10000000)),IF(G$35*-0.7&gt;=10000000,10000000,G$35*-0.7),IF(G$35*-0.9&gt;10000000,10000000,G$35*-0.9)))),0)</f>
        <v>0</v>
      </c>
      <c r="AL28" s="311">
        <f>AK28</f>
        <v>0</v>
      </c>
      <c r="AM28">
        <f>IFERROR(IF(AND(AND(1-('Mon Entreprise'!M122+'Mon Entreprise'!M124)/('Mon Entreprise'!I122+'Mon Entreprise'!I124)&gt;=0.5,OR('Mes Aides'!AB199="OUI",'Mes Aides'!AB200="OUI",'Mes Aides'!AB201="OUI",'Mes Aides'!AB202=TRUE)),OR(AND(C47=AJ23,C48=AJ23,C49=AJ23,C50=AJ23,C51=AJ23),AND(C47=AJ23,C51=AJ23,AND(Annexes!V6&gt;=Annexes!X6,Annexes!V6&lt;=Annexes!X7)))),1,0),0)</f>
        <v>0</v>
      </c>
    </row>
    <row r="29" spans="2:39">
      <c r="B29" s="396"/>
      <c r="C29" s="610"/>
      <c r="D29" s="610"/>
      <c r="N29" s="317"/>
      <c r="AJ29" t="s">
        <v>380</v>
      </c>
      <c r="AK29" s="312">
        <f>IFERROR(IF($AM$29=0,0,IF($AM$29=1,IF(AND(G16&gt;=50,OR(K16&gt;=10000000,'Mon Entreprise'!M96&gt;=10000000)),IF(J$35*-0.7+AL28&gt;=10000000,10000000-AL28,J$35*-0.7),IF(J$35*-0.9+AL28&gt;10000000,10000000-AL28,J$35*-0.9)))),0)</f>
        <v>0</v>
      </c>
      <c r="AL29" s="311">
        <f>AK29+AL28</f>
        <v>0</v>
      </c>
      <c r="AM29">
        <f>IFERROR(IF(AND(AND(1-('Mon Entreprise'!M122+'Mon Entreprise'!M124)/('Mon Entreprise'!I122+'Mon Entreprise'!I124)&gt;=0.5,OR('Mes Aides'!AB254="OUI",'Mes Aides'!AB255="OUI",'Mes Aides'!AB256="OUI",'Mes Aides'!AB227=TRUE)),OR(AND(C69=AJ23,C70=AJ23,C71=AJ23,C72=AJ23,C73=AJ23),AND(C69=AJ23,C73=AJ23,AND(Annexes!V6&gt;=Annexes!X6,Annexes!V6&lt;=Annexes!X7)))),1,0),0)</f>
        <v>0</v>
      </c>
    </row>
    <row r="30" spans="2:39">
      <c r="B30" s="396" t="s">
        <v>350</v>
      </c>
      <c r="C30" s="605" t="s">
        <v>354</v>
      </c>
      <c r="D30" s="605"/>
      <c r="G30" s="603">
        <v>0</v>
      </c>
      <c r="H30" s="604"/>
      <c r="J30" s="603">
        <v>0</v>
      </c>
      <c r="K30" s="604"/>
      <c r="M30" s="603">
        <v>0</v>
      </c>
      <c r="N30" s="604"/>
      <c r="P30" s="603">
        <v>0</v>
      </c>
      <c r="Q30" s="604"/>
      <c r="S30" s="603">
        <v>0</v>
      </c>
      <c r="T30" s="604"/>
      <c r="V30" s="603">
        <v>0</v>
      </c>
      <c r="W30" s="604"/>
      <c r="Y30" s="603">
        <v>0</v>
      </c>
      <c r="Z30" s="604"/>
      <c r="AB30" s="603">
        <v>0</v>
      </c>
      <c r="AC30" s="604"/>
      <c r="AE30" s="603">
        <v>0</v>
      </c>
      <c r="AF30" s="604"/>
      <c r="AJ30" t="s">
        <v>373</v>
      </c>
      <c r="AK30" s="310">
        <f>IFERROR(IF($AM$30=0,0,IF($AM$30=1,IF(AND(G16&gt;=50,OR(K16&gt;=10000000,'Mon Entreprise'!M96&gt;=10000000)),IF(M$35*-0.7+AL29&gt;=10000000,10000000-AL29,M$35*-0.7),IF(M$35*-0.9+AL29&gt;10000000,10000000-AL29,M$35*-0.9)))),0)</f>
        <v>0</v>
      </c>
      <c r="AL30" s="311">
        <f>AK30+AL29</f>
        <v>0</v>
      </c>
      <c r="AM30" s="313">
        <f>IFERROR(IF(AND(AND(1-('Mon Entreprise'!M126+'Mon Entreprise'!M128)/('Mon Entreprise'!I126+'Mon Entreprise'!I128)&gt;=0.5,OR('Mes Aides'!AB314="OUI",'Mes Aides'!AB315="OUI",'Mes Aides'!AB316="OUI",'Mes Aides'!AB317=TRUE,'Mes Aides'!AB318=TRUE)),OR(AND(C91=AJ23,C92=AJ23,C93=AJ23,C94=AJ23,C95=AJ23),AND(C91=AJ23,C95=AJ23,AND(Annexes!V6&gt;=Annexes!X6,Annexes!V6&lt;=Annexes!X7)))),1,0),0)</f>
        <v>0</v>
      </c>
    </row>
    <row r="31" spans="2:39" ht="17.25" customHeight="1">
      <c r="B31" s="396"/>
      <c r="C31" s="605"/>
      <c r="D31" s="605"/>
      <c r="AJ31" t="s">
        <v>374</v>
      </c>
      <c r="AK31" s="310">
        <f>IFERROR(IF($AM$31=0,0,IF($AM$31=1,IF(AND(G16&gt;=50,OR(K16&gt;=10000000,'Mon Entreprise'!M96&gt;=10000000)),IF(P$35*-0.7+AL30&gt;=10000000,10000000-AL30,P$35*-0.7),IF(P$35*-0.9+AL30&gt;10000000,10000000-AL30,P$35*-0.9)))),0)</f>
        <v>0</v>
      </c>
      <c r="AL31" s="311">
        <f>AK31+AL30</f>
        <v>0</v>
      </c>
      <c r="AM31" s="313">
        <f>IFERROR(IF(AND(AND(1-('Mon Entreprise'!M126+'Mon Entreprise'!M128)/('Mon Entreprise'!I126+'Mon Entreprise'!I128)&gt;=0.5,OR('Mes Aides'!AB378="OUI",'Mes Aides'!AB379="OUI",'Mes Aides'!AB380="OUI",'Mes Aides'!AB381=TRUE,'Mes Aides'!AB382=TRUE)),OR(AND(C113=AJ23,C114=AJ23,C115=AJ23,C116=AJ23,C117=AJ23),AND(C113=AJ23,C117=AJ23,AND(Annexes!V6&gt;=Annexes!X6,Annexes!V6&lt;=Annexes!X7)))),1,0),0)</f>
        <v>0</v>
      </c>
    </row>
    <row r="32" spans="2:39" ht="15" customHeight="1">
      <c r="B32" s="396" t="s">
        <v>350</v>
      </c>
      <c r="C32" s="610" t="s">
        <v>355</v>
      </c>
      <c r="D32" s="610"/>
      <c r="G32" s="603">
        <v>0</v>
      </c>
      <c r="H32" s="604"/>
      <c r="J32" s="603">
        <v>0</v>
      </c>
      <c r="K32" s="604"/>
      <c r="M32" s="603">
        <v>0</v>
      </c>
      <c r="N32" s="604"/>
      <c r="P32" s="603">
        <v>0</v>
      </c>
      <c r="Q32" s="604"/>
      <c r="S32" s="603">
        <v>0</v>
      </c>
      <c r="T32" s="604"/>
      <c r="V32" s="603">
        <v>0</v>
      </c>
      <c r="W32" s="604"/>
      <c r="Y32" s="603">
        <v>0</v>
      </c>
      <c r="Z32" s="604"/>
      <c r="AB32" s="603">
        <v>0</v>
      </c>
      <c r="AC32" s="604"/>
      <c r="AE32" s="603">
        <v>0</v>
      </c>
      <c r="AF32" s="604"/>
      <c r="AJ32" t="s">
        <v>375</v>
      </c>
      <c r="AK32" s="310">
        <f>IFERROR(IF($AM$32=0,0,IF($AM$32=1,IF(AND(G16&gt;=50,OR(K16&gt;=10000000,'Mon Entreprise'!M96&gt;=10000000)),IF(S$35*-0.7+AL31&gt;=10000000,10000000-AL31,S$35*-0.7),IF(S$35*-0.9+AL31&gt;10000000,10000000-AL31,S$35*-0.9)))),0)</f>
        <v>0</v>
      </c>
      <c r="AL32" s="311">
        <f>AK32+AL31</f>
        <v>0</v>
      </c>
      <c r="AM32" s="313">
        <f>IFERROR(IF(AND(AND(1-('Mon Entreprise'!M130+'Mon Entreprise'!M132)/('Mon Entreprise'!I130+'Mon Entreprise'!I132)&gt;=0.5,OR('Mes Aides'!AB442="OUI",'Mes Aides'!AB443="OUI",'Mes Aides'!AB444="OUI",'Mes Aides'!AB445=TRUE,'Mes Aides'!AB446=TRUE)),OR(AND(C135=AJ23,C136=AJ23,C137=AJ23,C138=AJ23,C139=AJ23),AND(C135=AJ23,C139=AJ23,AND(Annexes!V6&gt;=Annexes!X6,Annexes!V6&lt;=Annexes!X7)))),1,0),0)</f>
        <v>0</v>
      </c>
    </row>
    <row r="33" spans="2:39">
      <c r="B33" s="396"/>
      <c r="C33" s="610"/>
      <c r="D33" s="610"/>
      <c r="AJ33" t="s">
        <v>376</v>
      </c>
      <c r="AK33" s="310">
        <f>IFERROR(IF($AM$33=0,0,IF($AM$33=1,IF(AND(G16&gt;=50,OR(K16&gt;=10000000,'Mon Entreprise'!M96&gt;=10000000)),IF(V$35*-0.7+AL32&gt;=10000000,10000000-AL32,V$35*-0.7),IF(V$35*-0.9+AL32&gt;10000000,10000000-AL32,V$35*-0.9)))),0)</f>
        <v>0</v>
      </c>
      <c r="AL33" s="311">
        <f>AK33+AL32</f>
        <v>0</v>
      </c>
      <c r="AM33" s="313">
        <f>IFERROR(IF(AND(AND(1-('Mon Entreprise'!M130+'Mon Entreprise'!M132)/('Mon Entreprise'!I130+'Mon Entreprise'!I132)&gt;=0.5,OR('Mes Aides'!AB508="OUI",'Mes Aides'!AB509="OUI",'Mes Aides'!AB510="OUI",'Mes Aides'!AB511=TRUE)),OR(AND(C157=AJ23,C158=AJ23,C159=AJ23,C160=AJ23,C161=AJ23),AND(C157=AJ23,C161=AJ23,AND(Annexes!V6&gt;=Annexes!X6,Annexes!V6&lt;=Annexes!X7)))),1,0),0)</f>
        <v>0</v>
      </c>
    </row>
    <row r="34" spans="2:39">
      <c r="G34" s="277"/>
      <c r="H34" s="277"/>
      <c r="I34" s="1"/>
      <c r="J34" s="277"/>
      <c r="K34" s="277"/>
      <c r="L34" s="1"/>
      <c r="M34" s="277"/>
      <c r="N34" s="277"/>
      <c r="O34" s="1"/>
      <c r="P34" s="277"/>
      <c r="Q34" s="277"/>
      <c r="R34" s="1"/>
      <c r="S34" s="277"/>
      <c r="T34" s="277"/>
      <c r="U34" s="1"/>
      <c r="V34" s="277"/>
      <c r="W34" s="277"/>
      <c r="Y34" s="277"/>
      <c r="Z34" s="277"/>
      <c r="AA34" s="1"/>
      <c r="AB34" s="277"/>
      <c r="AC34" s="277"/>
      <c r="AE34" s="277"/>
      <c r="AF34" s="277"/>
      <c r="AG34" s="1"/>
      <c r="AJ34" t="s">
        <v>529</v>
      </c>
      <c r="AK34" s="310">
        <f>IFERROR(IF($AM$34=0,0,IF($AM$34=1,IF(AND(G16&gt;=50,OR(K16&gt;=10000000,'Mon Entreprise'!M96&gt;=10000000)),IF(Y35*-0.7+AL33&gt;=10000000,10000000-AL33,Y$35*-0.7),IF(Y$35*-0.9+AL33&gt;10000000,10000000-AL33,Y$35*-0.9)))),0)</f>
        <v>0</v>
      </c>
      <c r="AL34" s="311">
        <f t="shared" ref="AL34:AL36" si="0">AK34+AL33</f>
        <v>0</v>
      </c>
      <c r="AM34" s="313">
        <f>IFERROR(IF(AND(AND(1-('Mon Entreprise'!M134+'Mon Entreprise'!M136)/('Mon Entreprise'!I134+'Mon Entreprise'!I136)&gt;=0.5,OR('Mes Aides'!AB567="OUI",'Mes Aides'!AB568="OUI",'Mes Aides'!AB569="OUI",Annexes!M38=TRUE)),OR(AND(C179=AJ23,C180=AJ23,C181=AJ23,C182=AJ23,C183=AJ23),AND(C179=AJ23,C180=AJ23,C182=AJ23,C183=AJ23,AND(Annexes!V6&gt;=Annexes!X6,Annexes!V6&lt;=Annexes!X7)))),1,0),0)</f>
        <v>0</v>
      </c>
    </row>
    <row r="35" spans="2:39" ht="15" customHeight="1">
      <c r="C35" s="610" t="s">
        <v>356</v>
      </c>
      <c r="D35" s="610"/>
      <c r="E35" s="619" t="s">
        <v>357</v>
      </c>
      <c r="F35" s="622"/>
      <c r="G35" s="613">
        <f>G22+G24-G26-G28-G30-G32</f>
        <v>0</v>
      </c>
      <c r="H35" s="614"/>
      <c r="J35" s="613">
        <f>J22+J24-J26-J28-J30-J32</f>
        <v>0</v>
      </c>
      <c r="K35" s="614"/>
      <c r="M35" s="613">
        <f>M22+M24-M26-M28-M30-M32</f>
        <v>0</v>
      </c>
      <c r="N35" s="614"/>
      <c r="P35" s="613">
        <f>P22+P24-P26-P28-P30-P32</f>
        <v>0</v>
      </c>
      <c r="Q35" s="614"/>
      <c r="S35" s="613">
        <f>S22+S24-S26-S28-S30-S32</f>
        <v>0</v>
      </c>
      <c r="T35" s="614"/>
      <c r="V35" s="613">
        <f>V22+V24-V26-V28-V30-V32</f>
        <v>0</v>
      </c>
      <c r="W35" s="614"/>
      <c r="Y35" s="613">
        <f>Y22+Y24-Y26-Y28-Y30-Y32</f>
        <v>0</v>
      </c>
      <c r="Z35" s="614"/>
      <c r="AB35" s="613">
        <f>AB22+AB24-AB26-AB28-AB30-AB32</f>
        <v>0</v>
      </c>
      <c r="AC35" s="614"/>
      <c r="AE35" s="613">
        <f>AE22+AE24-AE26-AE28-AE30-AE32</f>
        <v>0</v>
      </c>
      <c r="AF35" s="614"/>
      <c r="AJ35" t="s">
        <v>530</v>
      </c>
      <c r="AK35" s="310">
        <f>IFERROR(IF($AM$35=0,0,IF($AM$35=1,IF(AND(G16&gt;=50,OR(K16&gt;=10000000,'Mon Entreprise'!M96&gt;=10000000)),IF(AB35*-0.7+AL34&gt;=10000000,10000000-AL34,AB$35*-0.7),IF(AB$35*-0.9+AL34&gt;10000000,10000000-AL34,AB$35*-0.9)))),0)</f>
        <v>0</v>
      </c>
      <c r="AL35" s="311">
        <f t="shared" si="0"/>
        <v>0</v>
      </c>
      <c r="AM35" s="313">
        <f>IFERROR(IF(AND(AND(1-('Mon Entreprise'!M134+'Mon Entreprise'!M136)/('Mon Entreprise'!I134+'Mon Entreprise'!I136)&gt;=0.5,OR('Mes Aides'!AB627="OUI",'Mes Aides'!AB628="OUI",'Mes Aides'!AB629="OUI",Annexes!M41=TRUE)),OR(AND(C201=AJ23,C202=AJ23,C203=AJ23,C204=AJ23,C205=AJ23),AND(C201=AJ23,C202=AJ23,C204=AJ23,C205=AJ23,AND(Annexes!V6&gt;=Annexes!X6,Annexes!V6&lt;=Annexes!X7)))),1,0),0)</f>
        <v>0</v>
      </c>
    </row>
    <row r="36" spans="2:39">
      <c r="C36" s="610"/>
      <c r="D36" s="610"/>
      <c r="E36" s="619"/>
      <c r="F36" s="622"/>
      <c r="G36" s="615"/>
      <c r="H36" s="616"/>
      <c r="J36" s="615"/>
      <c r="K36" s="616"/>
      <c r="M36" s="615"/>
      <c r="N36" s="616"/>
      <c r="P36" s="615"/>
      <c r="Q36" s="616"/>
      <c r="S36" s="615"/>
      <c r="T36" s="616"/>
      <c r="V36" s="615"/>
      <c r="W36" s="616"/>
      <c r="Y36" s="615"/>
      <c r="Z36" s="616"/>
      <c r="AB36" s="615"/>
      <c r="AC36" s="616"/>
      <c r="AE36" s="615"/>
      <c r="AF36" s="616"/>
      <c r="AJ36" t="s">
        <v>531</v>
      </c>
      <c r="AK36" s="310">
        <f>IFERROR(IF($AM$36=0,0,IF($AM$36=1,IF(AND(G16&gt;=50,OR(K16&gt;=10000000,'Mon Entreprise'!M96&gt;=10000000)),IF(AE35*-0.7+AL35&gt;=10000000,10000000-AL35,AE$35*-0.7),IF(AE$35*-0.9+AL35&gt;10000000,10000000-AL35,AE$35*-0.9)))),0)</f>
        <v>0</v>
      </c>
      <c r="AL36" s="311">
        <f>AK36+AL35</f>
        <v>0</v>
      </c>
      <c r="AM36" s="313">
        <f>IFERROR(IF(AND(AND(1-('Mon Entreprise'!M138)/('Mon Entreprise'!I138)&gt;=0.5,OR('Mes Aides'!AB689="OUI",'Mes Aides'!AB690="OUI",'Mes Aides'!AB691="OUI",Annexes!M45=TRUE)),OR(AND(C223=AJ23,C224=AJ23,C225=AJ23,C226=AJ23,C227=AJ23),AND(C223=AJ23,C224=AJ23,C226=AJ23,C227=AJ23,AND(Annexes!V6&gt;=Annexes!X6,Annexes!V6&lt;=Annexes!X7)))),1,0),0)</f>
        <v>0</v>
      </c>
    </row>
    <row r="37" spans="2:39">
      <c r="AK37" s="310"/>
      <c r="AL37" s="311"/>
      <c r="AM37" s="313"/>
    </row>
    <row r="41" spans="2:39" ht="16.5" thickBot="1">
      <c r="B41" s="220"/>
      <c r="C41" s="488" t="s">
        <v>359</v>
      </c>
      <c r="D41" s="488"/>
      <c r="E41" s="488"/>
      <c r="F41" s="488"/>
      <c r="G41" s="488"/>
      <c r="H41" s="488"/>
      <c r="I41" s="488"/>
      <c r="J41" s="221"/>
      <c r="K41" s="221"/>
      <c r="L41" s="221"/>
      <c r="M41" s="221"/>
      <c r="N41" s="221"/>
      <c r="O41" s="221"/>
      <c r="P41" s="221"/>
    </row>
    <row r="42" spans="2:39" ht="15.75">
      <c r="B42" s="63"/>
      <c r="C42" s="103"/>
      <c r="D42" s="24"/>
      <c r="E42" s="24"/>
      <c r="F42" s="24"/>
      <c r="G42" s="24"/>
      <c r="H42" s="24"/>
      <c r="I42" s="103"/>
      <c r="J42" s="1"/>
      <c r="K42" s="1"/>
      <c r="L42" s="1"/>
      <c r="M42" s="1"/>
      <c r="N42" s="1"/>
      <c r="O42" s="1"/>
      <c r="P42" s="1"/>
    </row>
    <row r="43" spans="2:39" ht="15.75">
      <c r="B43" s="103"/>
      <c r="C43" s="60"/>
      <c r="D43" s="393"/>
      <c r="E43" s="393"/>
      <c r="F43" s="393"/>
      <c r="G43" s="393"/>
      <c r="H43" s="393"/>
      <c r="I43" s="393"/>
      <c r="J43" s="393"/>
      <c r="K43" s="393"/>
      <c r="L43" s="393"/>
      <c r="M43" s="393"/>
      <c r="N43" s="393"/>
      <c r="O43" s="393"/>
    </row>
    <row r="44" spans="2:39" ht="15.75" customHeight="1">
      <c r="B44" s="103"/>
      <c r="C44" s="575" t="str">
        <f>IFERROR(IF(AND(1-('Mon Entreprise'!M122+'Mon Entreprise'!M124)/('Mon Entreprise'!I122+'Mon Entreprise'!I124)&gt;=0.5,OR('Mes Aides'!AB199="OUI",'Mes Aides'!AB200="OUI",'Mes Aides'!AB201="OUI",'Mes Aides'!AB202=TRUE)),"L'entreprises fait l’objet d’une interdiction d’accueil du public ou appartenant aux secteurs mentionnés en annexe 1,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44" s="575"/>
      <c r="E44" s="575"/>
      <c r="F44" s="575"/>
      <c r="G44" s="575"/>
      <c r="H44" s="575"/>
      <c r="I44" s="575"/>
      <c r="J44" s="575"/>
      <c r="K44" s="575"/>
      <c r="L44" s="575"/>
      <c r="M44" s="575"/>
      <c r="N44" s="575"/>
      <c r="O44" s="575"/>
      <c r="P44" s="575"/>
      <c r="S44" s="6"/>
      <c r="Y44" s="6"/>
      <c r="AE44" s="6"/>
    </row>
    <row r="45" spans="2:39" ht="15" customHeight="1">
      <c r="C45" s="575"/>
      <c r="D45" s="575"/>
      <c r="E45" s="575"/>
      <c r="F45" s="575"/>
      <c r="G45" s="575"/>
      <c r="H45" s="575"/>
      <c r="I45" s="575"/>
      <c r="J45" s="575"/>
      <c r="K45" s="575"/>
      <c r="L45" s="575"/>
      <c r="M45" s="575"/>
      <c r="N45" s="575"/>
      <c r="O45" s="575"/>
      <c r="P45" s="575"/>
    </row>
    <row r="46" spans="2:39" ht="15" customHeight="1">
      <c r="C46" s="575"/>
      <c r="D46" s="575"/>
      <c r="E46" s="575"/>
      <c r="F46" s="575"/>
      <c r="G46" s="575"/>
      <c r="H46" s="575"/>
      <c r="I46" s="575"/>
      <c r="J46" s="575"/>
      <c r="K46" s="575"/>
      <c r="L46" s="575"/>
      <c r="M46" s="575"/>
      <c r="N46" s="575"/>
      <c r="O46" s="575"/>
      <c r="P46" s="575"/>
    </row>
    <row r="47" spans="2:39">
      <c r="C47" s="282" t="str">
        <f>IF('Mon Entreprise'!K8&lt;=Annexes!O14,"þ","ý")</f>
        <v>þ</v>
      </c>
      <c r="D47" s="283" t="s">
        <v>360</v>
      </c>
      <c r="E47" s="40"/>
    </row>
    <row r="48" spans="2:39">
      <c r="C48" s="282" t="str">
        <f>IF('Mes Aides'!AB198&gt;=0.1,"þ","ý")</f>
        <v>ý</v>
      </c>
      <c r="D48" s="283" t="s">
        <v>363</v>
      </c>
      <c r="E48" s="40"/>
    </row>
    <row r="49" spans="2:16">
      <c r="C49" s="282" t="str">
        <f>IF(OR('Mon Entreprise'!I96&gt;=12000000,'Mon Entreprise'!I122&gt;=1000000,Q16&gt;=12000000),"þ","ý")</f>
        <v>ý</v>
      </c>
      <c r="D49" s="283" t="s">
        <v>364</v>
      </c>
      <c r="E49" s="40"/>
    </row>
    <row r="50" spans="2:16">
      <c r="C50" s="282" t="str">
        <f>IF('Mes Aides'!AB190&gt;=0.5,"þ","ý")</f>
        <v>ý</v>
      </c>
      <c r="D50" s="283" t="s">
        <v>365</v>
      </c>
      <c r="E50" s="40"/>
    </row>
    <row r="51" spans="2:16">
      <c r="C51" s="282" t="str">
        <f>IF((G35+J35)/2&lt;0,"þ","ý")</f>
        <v>ý</v>
      </c>
      <c r="D51" s="283" t="s">
        <v>414</v>
      </c>
      <c r="E51" s="40"/>
    </row>
    <row r="53" spans="2:16" ht="15" customHeight="1">
      <c r="C53" s="576" t="str">
        <f>IF(AND(C47=AJ23,C48=AJ23,C49=AJ23,C50=AJ23,C51=AJ23),"L'entreprise remplie l'ensemble des conditions pour obtenir l'aide exceptionnelle pour la prise en charge des coûts fixes.",IF(AND(C47=AJ23,C51=AJ23,OR(C48=AJ24,C49=AJ24,C50=AJ24),AND(Annexes!V6&gt;=Annexes!X6,Annexes!V6&lt;=Annexes!X7)),"L'entreprise ne remplie pas les conditions de CA mais fait partie des entreprises des secteurs sans critères pour obtenir l'aide exceptionnelle pour la prise en charge des coûts fixes.",IF(AND(OR(C47=AJ24,C51=AJ24),AND(Annexes!V6&gt;=Annexes!X6,Annexes!V6&lt;=Annexes!X7)),"L'entreprise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53" s="576"/>
      <c r="E53" s="576"/>
      <c r="F53" s="576"/>
      <c r="G53" s="576"/>
      <c r="H53" s="576"/>
      <c r="I53" s="576"/>
      <c r="J53" s="576"/>
      <c r="K53" s="576"/>
      <c r="L53" s="576"/>
      <c r="M53" s="576"/>
      <c r="N53" s="576"/>
      <c r="O53" s="576"/>
      <c r="P53" s="576"/>
    </row>
    <row r="54" spans="2:16">
      <c r="C54" s="576"/>
      <c r="D54" s="576"/>
      <c r="E54" s="576"/>
      <c r="F54" s="576"/>
      <c r="G54" s="576"/>
      <c r="H54" s="576"/>
      <c r="I54" s="576"/>
      <c r="J54" s="576"/>
      <c r="K54" s="576"/>
      <c r="L54" s="576"/>
      <c r="M54" s="576"/>
      <c r="N54" s="576"/>
      <c r="O54" s="576"/>
      <c r="P54" s="576"/>
    </row>
    <row r="56" spans="2:16">
      <c r="C56" s="284" t="s">
        <v>371</v>
      </c>
      <c r="D56" s="285"/>
    </row>
    <row r="57" spans="2:16" ht="15.75" thickBot="1"/>
    <row r="58" spans="2:16" ht="15" customHeight="1">
      <c r="C58" s="577" t="str">
        <f>IFERROR(IF(AM28=0,"Vous ne pouvez pas bénéficier de l'aide, les conditions ne sont pas respectées",IF(AM28=1,IF(AND(G16&gt;=50,K16&gt;=10000000),"L'entreprise à plus de 50 salariés et un bilan total supérieur à 10 M€, le dispositif couvre 70 % des pertes d'exploitation","L'entreprise à moins de 50 salariés ou un bilan de moins de 10 M€, le dispositif couvre 90 % des pertes d'exploitation")))&amp;IF(AM28=0,". ",IF(AL28&gt;=10000000,", cependant le plafond de 10 M€ est déjà atteint pour l'année 2021. ",". ")&amp;IF(AM28=0,"","Dans votre cas, l'aide est de "&amp;ROUND(AK28,0)&amp;" €.")),"")</f>
        <v xml:space="preserve">Vous ne pouvez pas bénéficier de l'aide, les conditions ne sont pas respectées. </v>
      </c>
      <c r="D58" s="578"/>
      <c r="E58" s="578"/>
      <c r="F58" s="578"/>
      <c r="G58" s="578"/>
      <c r="H58" s="578"/>
      <c r="I58" s="578"/>
      <c r="J58" s="578"/>
      <c r="K58" s="578"/>
      <c r="L58" s="578"/>
      <c r="M58" s="578"/>
      <c r="N58" s="578"/>
      <c r="O58" s="578"/>
      <c r="P58" s="579"/>
    </row>
    <row r="59" spans="2:16" ht="15" customHeight="1">
      <c r="C59" s="580"/>
      <c r="D59" s="581"/>
      <c r="E59" s="581"/>
      <c r="F59" s="581"/>
      <c r="G59" s="581"/>
      <c r="H59" s="581"/>
      <c r="I59" s="581"/>
      <c r="J59" s="581"/>
      <c r="K59" s="581"/>
      <c r="L59" s="581"/>
      <c r="M59" s="581"/>
      <c r="N59" s="581"/>
      <c r="O59" s="581"/>
      <c r="P59" s="582"/>
    </row>
    <row r="60" spans="2:16" ht="15.75" customHeight="1" thickBot="1">
      <c r="C60" s="583"/>
      <c r="D60" s="584"/>
      <c r="E60" s="584"/>
      <c r="F60" s="584"/>
      <c r="G60" s="584"/>
      <c r="H60" s="584"/>
      <c r="I60" s="584"/>
      <c r="J60" s="584"/>
      <c r="K60" s="584"/>
      <c r="L60" s="584"/>
      <c r="M60" s="584"/>
      <c r="N60" s="584"/>
      <c r="O60" s="584"/>
      <c r="P60" s="585"/>
    </row>
    <row r="61" spans="2:16" ht="15.75">
      <c r="C61" s="395"/>
      <c r="D61" s="395"/>
      <c r="E61" s="395"/>
      <c r="F61" s="395"/>
      <c r="G61" s="395"/>
      <c r="H61" s="395"/>
      <c r="I61" s="395"/>
      <c r="J61" s="395"/>
      <c r="K61" s="395"/>
      <c r="L61" s="395"/>
      <c r="M61" s="395"/>
      <c r="N61" s="395"/>
      <c r="O61" s="395"/>
      <c r="P61" s="395"/>
    </row>
    <row r="63" spans="2:16" ht="16.5" thickBot="1">
      <c r="B63" s="220"/>
      <c r="C63" s="488" t="s">
        <v>411</v>
      </c>
      <c r="D63" s="488"/>
      <c r="E63" s="488"/>
      <c r="F63" s="488"/>
      <c r="G63" s="488"/>
      <c r="H63" s="488"/>
      <c r="I63" s="488"/>
      <c r="J63" s="221"/>
      <c r="K63" s="221"/>
      <c r="L63" s="221"/>
      <c r="M63" s="221"/>
      <c r="N63" s="221"/>
      <c r="O63" s="221"/>
      <c r="P63" s="221"/>
    </row>
    <row r="64" spans="2:16" ht="15.75">
      <c r="B64" s="63"/>
      <c r="C64" s="103"/>
      <c r="D64" s="24"/>
      <c r="E64" s="24"/>
      <c r="F64" s="24"/>
      <c r="G64" s="24"/>
      <c r="H64" s="24"/>
      <c r="I64" s="103"/>
      <c r="J64" s="1"/>
      <c r="K64" s="1"/>
      <c r="L64" s="1"/>
      <c r="M64" s="1"/>
      <c r="N64" s="1"/>
      <c r="O64" s="1"/>
      <c r="P64" s="1"/>
    </row>
    <row r="65" spans="2:16" ht="15.75">
      <c r="B65" s="103"/>
      <c r="C65" s="60"/>
      <c r="D65" s="393"/>
      <c r="E65" s="393"/>
      <c r="F65" s="393"/>
      <c r="G65" s="393"/>
      <c r="H65" s="393"/>
      <c r="I65" s="393"/>
      <c r="J65" s="393"/>
      <c r="K65" s="393"/>
      <c r="L65" s="393"/>
      <c r="M65" s="393"/>
      <c r="N65" s="393"/>
      <c r="O65" s="393"/>
    </row>
    <row r="66" spans="2:16" ht="15.75" customHeight="1">
      <c r="B66" s="103"/>
      <c r="C66" s="575" t="str">
        <f>IFERROR(IF(AND(1-('Mon Entreprise'!M122+'Mon Entreprise'!M124)/('Mon Entreprise'!I122+'Mon Entreprise'!I124)&gt;=0.5,OR('Mes Aides'!AB254="OUI",'Mes Aides'!AB255="OUI",'Mes Aides'!AB256="OUI",'Mes Aides'!AB227=TRUE)),"L'entreprises fait l’objet d’une interdiction d’accueil du public ou appartenant aux secteurs mentionnés en annexe 1 ,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66" s="575"/>
      <c r="E66" s="575"/>
      <c r="F66" s="575"/>
      <c r="G66" s="575"/>
      <c r="H66" s="575"/>
      <c r="I66" s="575"/>
      <c r="J66" s="575"/>
      <c r="K66" s="575"/>
      <c r="L66" s="575"/>
      <c r="M66" s="575"/>
      <c r="N66" s="575"/>
      <c r="O66" s="575"/>
      <c r="P66" s="575"/>
    </row>
    <row r="67" spans="2:16" ht="15" customHeight="1">
      <c r="C67" s="575"/>
      <c r="D67" s="575"/>
      <c r="E67" s="575"/>
      <c r="F67" s="575"/>
      <c r="G67" s="575"/>
      <c r="H67" s="575"/>
      <c r="I67" s="575"/>
      <c r="J67" s="575"/>
      <c r="K67" s="575"/>
      <c r="L67" s="575"/>
      <c r="M67" s="575"/>
      <c r="N67" s="575"/>
      <c r="O67" s="575"/>
      <c r="P67" s="575"/>
    </row>
    <row r="68" spans="2:16" ht="15" customHeight="1">
      <c r="C68" s="575"/>
      <c r="D68" s="575"/>
      <c r="E68" s="575"/>
      <c r="F68" s="575"/>
      <c r="G68" s="575"/>
      <c r="H68" s="575"/>
      <c r="I68" s="575"/>
      <c r="J68" s="575"/>
      <c r="K68" s="575"/>
      <c r="L68" s="575"/>
      <c r="M68" s="575"/>
      <c r="N68" s="575"/>
      <c r="O68" s="575"/>
      <c r="P68" s="575"/>
    </row>
    <row r="69" spans="2:16">
      <c r="C69" s="282" t="str">
        <f>IF('Mon Entreprise'!K8&lt;=Annexes!O14,"þ","ý")</f>
        <v>þ</v>
      </c>
      <c r="D69" s="283" t="s">
        <v>360</v>
      </c>
      <c r="E69" s="40"/>
    </row>
    <row r="70" spans="2:16">
      <c r="C70" s="282" t="str">
        <f>IF('Mes Aides'!AB198&gt;=0.1,"þ","ý")</f>
        <v>ý</v>
      </c>
      <c r="D70" s="283" t="s">
        <v>363</v>
      </c>
      <c r="E70" s="40"/>
    </row>
    <row r="71" spans="2:16">
      <c r="C71" s="282" t="str">
        <f>IF(OR('Mon Entreprise'!I96&gt;=12000000,'Mon Entreprise'!I124&gt;=1000000,Q16&gt;=12000000),"þ","ý")</f>
        <v>ý</v>
      </c>
      <c r="D71" s="283" t="s">
        <v>364</v>
      </c>
      <c r="E71" s="40"/>
    </row>
    <row r="72" spans="2:16">
      <c r="C72" s="282" t="str">
        <f>IF('Mes Aides'!AB244&gt;=0.5,"þ","ý")</f>
        <v>ý</v>
      </c>
      <c r="D72" s="283" t="s">
        <v>412</v>
      </c>
      <c r="E72" s="40"/>
    </row>
    <row r="73" spans="2:16">
      <c r="C73" s="282" t="str">
        <f>IF((G35+J35)/2&lt;0,"þ","ý")</f>
        <v>ý</v>
      </c>
      <c r="D73" s="283" t="s">
        <v>413</v>
      </c>
      <c r="E73" s="40"/>
    </row>
    <row r="75" spans="2:16" ht="15" customHeight="1">
      <c r="C75" s="576" t="str">
        <f>IF(AND(C69=AJ23,C70=AJ23,C71=AJ23,C72=AJ23,C73=AJ23),"L'entreprise remplie l'ensemble des conditions pour obtenir l'aide exceptionnelle pour la prise en charge des coûts fixes.",IF(AND(C69=AJ23,C73=AJ23,OR(C70=AJ24,C71=AJ24,C72=AJ24),AND(Annexes!V6&gt;=Annexes!X6,Annexes!V6&lt;=Annexes!X7)),"L'entreprise ne remplie pas les conditions de CA mais fait partie des entreprises des secteurs sans critères pour obtenir l'aide exceptionnelle pour la prise en charge des coûts fixes.",IF(AND(OR(C69=AJ24,C73=AJ24),AND(Annexes!V6&gt;=Annexes!X6,Annexes!V6&lt;=Annexes!X7)),"L'entreprise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75" s="576"/>
      <c r="E75" s="576"/>
      <c r="F75" s="576"/>
      <c r="G75" s="576"/>
      <c r="H75" s="576"/>
      <c r="I75" s="576"/>
      <c r="J75" s="576"/>
      <c r="K75" s="576"/>
      <c r="L75" s="576"/>
      <c r="M75" s="576"/>
      <c r="N75" s="576"/>
      <c r="O75" s="576"/>
      <c r="P75" s="576"/>
    </row>
    <row r="76" spans="2:16">
      <c r="C76" s="576"/>
      <c r="D76" s="576"/>
      <c r="E76" s="576"/>
      <c r="F76" s="576"/>
      <c r="G76" s="576"/>
      <c r="H76" s="576"/>
      <c r="I76" s="576"/>
      <c r="J76" s="576"/>
      <c r="K76" s="576"/>
      <c r="L76" s="576"/>
      <c r="M76" s="576"/>
      <c r="N76" s="576"/>
      <c r="O76" s="576"/>
      <c r="P76" s="576"/>
    </row>
    <row r="78" spans="2:16">
      <c r="C78" s="284" t="s">
        <v>371</v>
      </c>
      <c r="D78" s="285"/>
    </row>
    <row r="79" spans="2:16" ht="15.75" thickBot="1"/>
    <row r="80" spans="2:16" ht="15" customHeight="1">
      <c r="C80" s="577" t="str">
        <f>IFERROR(IF(AM29=0,"Vous ne pouvez pas bénéficier de l'aide, les conditions ne sont pas respectées",IF(AM29=1,IF(AND(G16&gt;=50,K16&gt;=10000000),"L'entreprise à plus de 50 salariés et un bilan total supérieur à 10 M€, le dispositif couvre 70 % des pertes d'exploitation","L'entreprise à moins de 50 salariés ou un bilan de moins de 10 M€, le dispositif couvre 90 % des pertes d'exploitation")))&amp;IF(AM29=0,". ",IF(AL29&gt;=10000000,", cependant le plafond de 10 M€ est déjà atteint pour l'année 2021. ",". ")&amp;IF(AM29=0,"","Dans votre cas, l'aide est de "&amp;ROUND(AK29,0)&amp;" €.")),"")</f>
        <v xml:space="preserve">Vous ne pouvez pas bénéficier de l'aide, les conditions ne sont pas respectées. </v>
      </c>
      <c r="D80" s="578"/>
      <c r="E80" s="578"/>
      <c r="F80" s="578"/>
      <c r="G80" s="578"/>
      <c r="H80" s="578"/>
      <c r="I80" s="578"/>
      <c r="J80" s="578"/>
      <c r="K80" s="578"/>
      <c r="L80" s="578"/>
      <c r="M80" s="578"/>
      <c r="N80" s="578"/>
      <c r="O80" s="578"/>
      <c r="P80" s="579"/>
    </row>
    <row r="81" spans="2:16" ht="15" customHeight="1">
      <c r="C81" s="580"/>
      <c r="D81" s="581"/>
      <c r="E81" s="581"/>
      <c r="F81" s="581"/>
      <c r="G81" s="581"/>
      <c r="H81" s="581"/>
      <c r="I81" s="581"/>
      <c r="J81" s="581"/>
      <c r="K81" s="581"/>
      <c r="L81" s="581"/>
      <c r="M81" s="581"/>
      <c r="N81" s="581"/>
      <c r="O81" s="581"/>
      <c r="P81" s="582"/>
    </row>
    <row r="82" spans="2:16" ht="15.75" customHeight="1" thickBot="1">
      <c r="C82" s="583"/>
      <c r="D82" s="584"/>
      <c r="E82" s="584"/>
      <c r="F82" s="584"/>
      <c r="G82" s="584"/>
      <c r="H82" s="584"/>
      <c r="I82" s="584"/>
      <c r="J82" s="584"/>
      <c r="K82" s="584"/>
      <c r="L82" s="584"/>
      <c r="M82" s="584"/>
      <c r="N82" s="584"/>
      <c r="O82" s="584"/>
      <c r="P82" s="585"/>
    </row>
    <row r="83" spans="2:16" ht="15.75">
      <c r="C83" s="395"/>
      <c r="D83" s="395"/>
      <c r="E83" s="395"/>
      <c r="F83" s="395"/>
      <c r="G83" s="395"/>
      <c r="H83" s="395"/>
      <c r="I83" s="395"/>
      <c r="J83" s="395"/>
      <c r="K83" s="395"/>
      <c r="L83" s="395"/>
      <c r="M83" s="395"/>
      <c r="N83" s="395"/>
      <c r="O83" s="395"/>
      <c r="P83" s="395"/>
    </row>
    <row r="85" spans="2:16" ht="16.5" thickBot="1">
      <c r="B85" s="221"/>
      <c r="C85" s="488" t="s">
        <v>416</v>
      </c>
      <c r="D85" s="488"/>
      <c r="E85" s="488"/>
      <c r="F85" s="488"/>
      <c r="G85" s="488"/>
      <c r="H85" s="488"/>
      <c r="I85" s="488"/>
      <c r="J85" s="221"/>
      <c r="K85" s="221"/>
      <c r="L85" s="221"/>
      <c r="M85" s="221"/>
      <c r="N85" s="221"/>
      <c r="O85" s="221"/>
      <c r="P85" s="221"/>
    </row>
    <row r="86" spans="2:16" ht="15.75">
      <c r="B86" s="63"/>
      <c r="C86" s="103"/>
      <c r="D86" s="24"/>
      <c r="E86" s="24"/>
      <c r="F86" s="24"/>
      <c r="G86" s="24"/>
      <c r="H86" s="24"/>
      <c r="I86" s="103"/>
      <c r="J86" s="1"/>
      <c r="K86" s="1"/>
      <c r="L86" s="1"/>
      <c r="M86" s="1"/>
      <c r="N86" s="1"/>
      <c r="O86" s="1"/>
      <c r="P86" s="1"/>
    </row>
    <row r="87" spans="2:16" ht="15.75">
      <c r="B87" s="103"/>
      <c r="C87" s="60"/>
      <c r="D87" s="393"/>
      <c r="E87" s="393"/>
      <c r="F87" s="393"/>
      <c r="G87" s="393"/>
      <c r="H87" s="393"/>
      <c r="I87" s="393"/>
      <c r="J87" s="393"/>
      <c r="K87" s="393"/>
      <c r="L87" s="393"/>
      <c r="M87" s="393"/>
      <c r="N87" s="393"/>
      <c r="O87" s="393"/>
    </row>
    <row r="88" spans="2:16" ht="15.75" customHeight="1">
      <c r="B88" s="103"/>
      <c r="C88" s="575" t="str">
        <f>IFERROR(IF(AND(1-('Mon Entreprise'!M126+'Mon Entreprise'!M128)/('Mon Entreprise'!I126+'Mon Entreprise'!I128)&gt;=0.5,OR('Mes Aides'!AB314="OUI",'Mes Aides'!AB315="OUI",'Mes Aides'!AB316="OUI",'Mes Aides'!AB317=TRUE,'Mes Aides'!AB318=TRUE)),"L'entreprises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88" s="575"/>
      <c r="E88" s="575"/>
      <c r="F88" s="575"/>
      <c r="G88" s="575"/>
      <c r="H88" s="575"/>
      <c r="I88" s="575"/>
      <c r="J88" s="575"/>
      <c r="K88" s="575"/>
      <c r="L88" s="575"/>
      <c r="M88" s="575"/>
      <c r="N88" s="575"/>
      <c r="O88" s="575"/>
      <c r="P88" s="575"/>
    </row>
    <row r="89" spans="2:16" ht="15" customHeight="1">
      <c r="C89" s="575"/>
      <c r="D89" s="575"/>
      <c r="E89" s="575"/>
      <c r="F89" s="575"/>
      <c r="G89" s="575"/>
      <c r="H89" s="575"/>
      <c r="I89" s="575"/>
      <c r="J89" s="575"/>
      <c r="K89" s="575"/>
      <c r="L89" s="575"/>
      <c r="M89" s="575"/>
      <c r="N89" s="575"/>
      <c r="O89" s="575"/>
      <c r="P89" s="575"/>
    </row>
    <row r="90" spans="2:16" ht="15" customHeight="1">
      <c r="C90" s="575"/>
      <c r="D90" s="575"/>
      <c r="E90" s="575"/>
      <c r="F90" s="575"/>
      <c r="G90" s="575"/>
      <c r="H90" s="575"/>
      <c r="I90" s="575"/>
      <c r="J90" s="575"/>
      <c r="K90" s="575"/>
      <c r="L90" s="575"/>
      <c r="M90" s="575"/>
      <c r="N90" s="575"/>
      <c r="O90" s="575"/>
      <c r="P90" s="575"/>
    </row>
    <row r="91" spans="2:16">
      <c r="C91" s="282" t="str">
        <f>IF('Mon Entreprise'!K8&lt;=Annexes!O16,"þ","ý")</f>
        <v>þ</v>
      </c>
      <c r="D91" s="283" t="s">
        <v>445</v>
      </c>
      <c r="E91" s="40"/>
    </row>
    <row r="92" spans="2:16">
      <c r="C92" s="282" t="str">
        <f>IF('Mes Aides'!AB198&gt;=0.1,"þ","ý")</f>
        <v>ý</v>
      </c>
      <c r="D92" s="283" t="s">
        <v>363</v>
      </c>
      <c r="E92" s="40"/>
    </row>
    <row r="93" spans="2:16">
      <c r="C93" s="282" t="str">
        <f>IF(OR('Mon Entreprise'!I96&gt;=12000000,'Mon Entreprise'!I126&gt;=1000000,Q16&gt;=12000000),"þ","ý")</f>
        <v>ý</v>
      </c>
      <c r="D93" s="283" t="s">
        <v>364</v>
      </c>
      <c r="E93" s="40"/>
    </row>
    <row r="94" spans="2:16">
      <c r="C94" s="282" t="str">
        <f>IF('Mes Aides'!AB304&gt;=0.5,"þ","ý")</f>
        <v>ý</v>
      </c>
      <c r="D94" s="283" t="s">
        <v>446</v>
      </c>
      <c r="E94" s="40"/>
    </row>
    <row r="95" spans="2:16">
      <c r="C95" s="282" t="str">
        <f>IF((M35+P35)/2&lt;0,"þ","ý")</f>
        <v>ý</v>
      </c>
      <c r="D95" s="283" t="s">
        <v>447</v>
      </c>
      <c r="E95" s="40"/>
    </row>
    <row r="97" spans="2:16" ht="15" customHeight="1">
      <c r="C97" s="576" t="str">
        <f>IF(AND(C91=AJ23,C92=AJ23,C93=AJ23,C94=AJ23,C95=AJ23),"L'entreprise remplie l'ensemble des conditions pour obtenir l'aide exceptionnelle pour la prise en charge des coûts fixes.",IF(AND(C91=AJ23,C95=AJ23,OR(C92=AJ24,C93=AJ24,C94=AJ24),AND(Annexes!V6&gt;=Annexes!X6,Annexes!V6&lt;=Annexes!X7)),"L'entreprise ne remplie pas les conditions de CA mais fait partie des entreprises des secteurs sans critères pour obtenir l'aide exceptionnelle pour la prise en charge des coûts fixes.",IF(AND(OR(C91=AJ24,C95=AJ24),AND(Annexes!V6&gt;=Annexes!X6,Annexes!V6&lt;=Annexes!X7)),"L'entreprise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97" s="576"/>
      <c r="E97" s="576"/>
      <c r="F97" s="576"/>
      <c r="G97" s="576"/>
      <c r="H97" s="576"/>
      <c r="I97" s="576"/>
      <c r="J97" s="576"/>
      <c r="K97" s="576"/>
      <c r="L97" s="576"/>
      <c r="M97" s="576"/>
      <c r="N97" s="576"/>
      <c r="O97" s="576"/>
      <c r="P97" s="576"/>
    </row>
    <row r="98" spans="2:16">
      <c r="C98" s="576"/>
      <c r="D98" s="576"/>
      <c r="E98" s="576"/>
      <c r="F98" s="576"/>
      <c r="G98" s="576"/>
      <c r="H98" s="576"/>
      <c r="I98" s="576"/>
      <c r="J98" s="576"/>
      <c r="K98" s="576"/>
      <c r="L98" s="576"/>
      <c r="M98" s="576"/>
      <c r="N98" s="576"/>
      <c r="O98" s="576"/>
      <c r="P98" s="576"/>
    </row>
    <row r="100" spans="2:16">
      <c r="C100" s="284" t="s">
        <v>371</v>
      </c>
      <c r="D100" s="285"/>
    </row>
    <row r="101" spans="2:16" ht="15.75" thickBot="1"/>
    <row r="102" spans="2:16" ht="15" customHeight="1">
      <c r="C102" s="577" t="str">
        <f>IFERROR(IF(AM30=0,"Vous ne pouvez pas bénéficier de l'aide, les conditions ne sont pas respectées",IF(AM30=1,IF(AND(G16&gt;=50,K16&gt;=10000000),"L'entreprise à plus de 50 salariés et un bilan total supérieur à 10 M€, le dispositif couvre 70 % des pertes d'exploitation","L'entreprise à moins de 50 salariés ou un bilan de moins de 10 M€, le dispositif couvre 90 % des pertes d'exploitation")))&amp;IF(AM30=0,". ",IF(AL30&gt;=10000000,", cependant le plafond de 10 M€ est déjà atteint pour l'année 2021. ",". ")&amp;IF(AM30=0,"","Dans votre cas, l'aide est de "&amp;ROUND(AK30,0)&amp;" €.")),"")</f>
        <v xml:space="preserve">Vous ne pouvez pas bénéficier de l'aide, les conditions ne sont pas respectées. </v>
      </c>
      <c r="D102" s="578"/>
      <c r="E102" s="578"/>
      <c r="F102" s="578"/>
      <c r="G102" s="578"/>
      <c r="H102" s="578"/>
      <c r="I102" s="578"/>
      <c r="J102" s="578"/>
      <c r="K102" s="578"/>
      <c r="L102" s="578"/>
      <c r="M102" s="578"/>
      <c r="N102" s="578"/>
      <c r="O102" s="578"/>
      <c r="P102" s="579"/>
    </row>
    <row r="103" spans="2:16" ht="15" customHeight="1">
      <c r="C103" s="580"/>
      <c r="D103" s="581"/>
      <c r="E103" s="581"/>
      <c r="F103" s="581"/>
      <c r="G103" s="581"/>
      <c r="H103" s="581"/>
      <c r="I103" s="581"/>
      <c r="J103" s="581"/>
      <c r="K103" s="581"/>
      <c r="L103" s="581"/>
      <c r="M103" s="581"/>
      <c r="N103" s="581"/>
      <c r="O103" s="581"/>
      <c r="P103" s="582"/>
    </row>
    <row r="104" spans="2:16" ht="15.75" customHeight="1" thickBot="1">
      <c r="C104" s="583"/>
      <c r="D104" s="584"/>
      <c r="E104" s="584"/>
      <c r="F104" s="584"/>
      <c r="G104" s="584"/>
      <c r="H104" s="584"/>
      <c r="I104" s="584"/>
      <c r="J104" s="584"/>
      <c r="K104" s="584"/>
      <c r="L104" s="584"/>
      <c r="M104" s="584"/>
      <c r="N104" s="584"/>
      <c r="O104" s="584"/>
      <c r="P104" s="585"/>
    </row>
    <row r="105" spans="2:16" ht="15.75">
      <c r="C105" s="395"/>
      <c r="D105" s="395"/>
      <c r="E105" s="395"/>
      <c r="F105" s="395"/>
      <c r="G105" s="395"/>
      <c r="H105" s="395"/>
      <c r="I105" s="395"/>
      <c r="J105" s="395"/>
      <c r="K105" s="395"/>
      <c r="L105" s="395"/>
      <c r="M105" s="395"/>
      <c r="N105" s="395"/>
      <c r="O105" s="395"/>
      <c r="P105" s="395"/>
    </row>
    <row r="107" spans="2:16" ht="16.5" thickBot="1">
      <c r="B107" s="221"/>
      <c r="C107" s="488" t="s">
        <v>417</v>
      </c>
      <c r="D107" s="488"/>
      <c r="E107" s="488"/>
      <c r="F107" s="488"/>
      <c r="G107" s="488"/>
      <c r="H107" s="488"/>
      <c r="I107" s="488"/>
      <c r="J107" s="221"/>
      <c r="K107" s="221"/>
      <c r="L107" s="221"/>
      <c r="M107" s="221"/>
      <c r="N107" s="221"/>
      <c r="O107" s="221"/>
      <c r="P107" s="221"/>
    </row>
    <row r="108" spans="2:16" ht="15.75">
      <c r="B108" s="63"/>
      <c r="C108" s="103"/>
      <c r="D108" s="24"/>
      <c r="E108" s="24"/>
      <c r="F108" s="24"/>
      <c r="G108" s="24"/>
      <c r="H108" s="24"/>
      <c r="I108" s="103"/>
      <c r="J108" s="1"/>
      <c r="K108" s="1"/>
      <c r="L108" s="1"/>
      <c r="M108" s="1"/>
      <c r="N108" s="1"/>
      <c r="O108" s="1"/>
      <c r="P108" s="1"/>
    </row>
    <row r="109" spans="2:16" ht="15.75">
      <c r="B109" s="103"/>
      <c r="C109" s="60"/>
      <c r="D109" s="393"/>
      <c r="E109" s="393"/>
      <c r="F109" s="393"/>
      <c r="G109" s="393"/>
      <c r="H109" s="393"/>
      <c r="I109" s="393"/>
      <c r="J109" s="393"/>
      <c r="K109" s="393"/>
      <c r="L109" s="393"/>
      <c r="M109" s="393"/>
      <c r="N109" s="393"/>
      <c r="O109" s="393"/>
    </row>
    <row r="110" spans="2:16" ht="15.75" customHeight="1">
      <c r="B110" s="103"/>
      <c r="C110" s="575" t="str">
        <f>IFERROR(IF(AND(1-('Mon Entreprise'!M126+'Mon Entreprise'!M128)/('Mon Entreprise'!I126+'Mon Entreprise'!I128)&gt;=0.5,OR('Mes Aides'!AB378="OUI",'Mes Aides'!AB379="OUI",'Mes Aides'!AB380="OUI",'Mes Aides'!AB381=TRUE,'Mes Aides'!AB382=TRUE)),"L'entreprises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110" s="575"/>
      <c r="E110" s="575"/>
      <c r="F110" s="575"/>
      <c r="G110" s="575"/>
      <c r="H110" s="575"/>
      <c r="I110" s="575"/>
      <c r="J110" s="575"/>
      <c r="K110" s="575"/>
      <c r="L110" s="575"/>
      <c r="M110" s="575"/>
      <c r="N110" s="575"/>
      <c r="O110" s="575"/>
      <c r="P110" s="575"/>
    </row>
    <row r="111" spans="2:16" ht="15" customHeight="1">
      <c r="C111" s="575"/>
      <c r="D111" s="575"/>
      <c r="E111" s="575"/>
      <c r="F111" s="575"/>
      <c r="G111" s="575"/>
      <c r="H111" s="575"/>
      <c r="I111" s="575"/>
      <c r="J111" s="575"/>
      <c r="K111" s="575"/>
      <c r="L111" s="575"/>
      <c r="M111" s="575"/>
      <c r="N111" s="575"/>
      <c r="O111" s="575"/>
      <c r="P111" s="575"/>
    </row>
    <row r="112" spans="2:16" ht="15" customHeight="1">
      <c r="C112" s="575"/>
      <c r="D112" s="575"/>
      <c r="E112" s="575"/>
      <c r="F112" s="575"/>
      <c r="G112" s="575"/>
      <c r="H112" s="575"/>
      <c r="I112" s="575"/>
      <c r="J112" s="575"/>
      <c r="K112" s="575"/>
      <c r="L112" s="575"/>
      <c r="M112" s="575"/>
      <c r="N112" s="575"/>
      <c r="O112" s="575"/>
      <c r="P112" s="575"/>
    </row>
    <row r="113" spans="3:16">
      <c r="C113" s="282" t="str">
        <f>IF('Mon Entreprise'!K8&lt;=Annexes!O16,"þ","ý")</f>
        <v>þ</v>
      </c>
      <c r="D113" s="283" t="s">
        <v>445</v>
      </c>
      <c r="E113" s="40"/>
    </row>
    <row r="114" spans="3:16">
      <c r="C114" s="282" t="str">
        <f>IF('Mes Aides'!AB198&gt;=0.1,"þ","ý")</f>
        <v>ý</v>
      </c>
      <c r="D114" s="283" t="s">
        <v>363</v>
      </c>
      <c r="E114" s="40"/>
    </row>
    <row r="115" spans="3:16">
      <c r="C115" s="282" t="str">
        <f>IF(OR('Mon Entreprise'!I96&gt;=12000000,'Mon Entreprise'!I128&gt;=1000000,Q16&gt;=12000000),"þ","ý")</f>
        <v>ý</v>
      </c>
      <c r="D115" s="283" t="s">
        <v>364</v>
      </c>
      <c r="E115" s="40"/>
    </row>
    <row r="116" spans="3:16">
      <c r="C116" s="282" t="str">
        <f>IF('Mes Aides'!AB368&gt;=0.5,"þ","ý")</f>
        <v>ý</v>
      </c>
      <c r="D116" s="283" t="s">
        <v>448</v>
      </c>
      <c r="E116" s="40"/>
    </row>
    <row r="117" spans="3:16">
      <c r="C117" s="282" t="str">
        <f>IF((M35+P35)/2&lt;0,"þ","ý")</f>
        <v>ý</v>
      </c>
      <c r="D117" s="283" t="s">
        <v>449</v>
      </c>
      <c r="E117" s="40"/>
    </row>
    <row r="119" spans="3:16" ht="15" customHeight="1">
      <c r="C119" s="576" t="str">
        <f>IF(AND(C113=AJ23,C114=AJ23,C115=AJ23,C116=AJ23,C117=AJ23),"L'entreprise remplie l'ensemble des conditions pour obtenir l'aide exceptionnelle pour la prise en charge des coûts fixes.",IF(AND(C113=AJ23,C117=AJ23,OR(C114=AJ24,C115=AJ24,C116=AJ24),AND(Annexes!V6&gt;=Annexes!X6,Annexes!V6&lt;=Annexes!X7)),"L'entreprise ne remplie pas les conditions de CA mais fait partie des entreprises des secteurs sans critères pour obtenir l'aide exceptionnelle pour la prise en charge des coûts fixes.",IF(AND(OR(C113=AJ24,C117=AJ24),AND(Annexes!V6&gt;=Annexes!X6,Annexes!V6&lt;=Annexes!X7)),"L'entreprise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19" s="576"/>
      <c r="E119" s="576"/>
      <c r="F119" s="576"/>
      <c r="G119" s="576"/>
      <c r="H119" s="576"/>
      <c r="I119" s="576"/>
      <c r="J119" s="576"/>
      <c r="K119" s="576"/>
      <c r="L119" s="576"/>
      <c r="M119" s="576"/>
      <c r="N119" s="576"/>
      <c r="O119" s="576"/>
      <c r="P119" s="576"/>
    </row>
    <row r="120" spans="3:16">
      <c r="C120" s="576"/>
      <c r="D120" s="576"/>
      <c r="E120" s="576"/>
      <c r="F120" s="576"/>
      <c r="G120" s="576"/>
      <c r="H120" s="576"/>
      <c r="I120" s="576"/>
      <c r="J120" s="576"/>
      <c r="K120" s="576"/>
      <c r="L120" s="576"/>
      <c r="M120" s="576"/>
      <c r="N120" s="576"/>
      <c r="O120" s="576"/>
      <c r="P120" s="576"/>
    </row>
    <row r="122" spans="3:16">
      <c r="C122" s="284" t="s">
        <v>371</v>
      </c>
      <c r="D122" s="285"/>
    </row>
    <row r="123" spans="3:16" ht="15.75" thickBot="1"/>
    <row r="124" spans="3:16" ht="15" customHeight="1">
      <c r="C124" s="577" t="str">
        <f>IFERROR(IF(AM31=0,"Vous ne pouvez pas bénéficier de l'aide, les conditions ne sont pas respectées",IF(AM31=1,IF(AND(G16&gt;=50,K16&gt;=10000000),"L'entreprise à plus de 50 salariés et un bilan total supérieur à 10 M€, le dispositif couvre 70 % des pertes d'exploitation","L'entreprise à moins de 50 salariés ou un bilan de moins de 10 M€, le dispositif couvre 90 % des pertes d'exploitation")))&amp;IF(AM31=0,". ",IF(AL31&gt;=10000000,", cependant le plafond de 10 M€ est déjà atteint pour l'année 2021. ",". ")&amp;IF(AM31=0,"","Dans votre cas, l'aide est de "&amp;ROUND(AK31,0)&amp;" €.")),"")</f>
        <v xml:space="preserve">Vous ne pouvez pas bénéficier de l'aide, les conditions ne sont pas respectées. </v>
      </c>
      <c r="D124" s="578"/>
      <c r="E124" s="578"/>
      <c r="F124" s="578"/>
      <c r="G124" s="578"/>
      <c r="H124" s="578"/>
      <c r="I124" s="578"/>
      <c r="J124" s="578"/>
      <c r="K124" s="578"/>
      <c r="L124" s="578"/>
      <c r="M124" s="578"/>
      <c r="N124" s="578"/>
      <c r="O124" s="578"/>
      <c r="P124" s="579"/>
    </row>
    <row r="125" spans="3:16" ht="15" customHeight="1">
      <c r="C125" s="580"/>
      <c r="D125" s="581"/>
      <c r="E125" s="581"/>
      <c r="F125" s="581"/>
      <c r="G125" s="581"/>
      <c r="H125" s="581"/>
      <c r="I125" s="581"/>
      <c r="J125" s="581"/>
      <c r="K125" s="581"/>
      <c r="L125" s="581"/>
      <c r="M125" s="581"/>
      <c r="N125" s="581"/>
      <c r="O125" s="581"/>
      <c r="P125" s="582"/>
    </row>
    <row r="126" spans="3:16" ht="15.75" customHeight="1" thickBot="1">
      <c r="C126" s="583"/>
      <c r="D126" s="584"/>
      <c r="E126" s="584"/>
      <c r="F126" s="584"/>
      <c r="G126" s="584"/>
      <c r="H126" s="584"/>
      <c r="I126" s="584"/>
      <c r="J126" s="584"/>
      <c r="K126" s="584"/>
      <c r="L126" s="584"/>
      <c r="M126" s="584"/>
      <c r="N126" s="584"/>
      <c r="O126" s="584"/>
      <c r="P126" s="585"/>
    </row>
    <row r="127" spans="3:16" ht="15.75">
      <c r="C127" s="395"/>
      <c r="D127" s="395"/>
      <c r="E127" s="395"/>
      <c r="F127" s="395"/>
      <c r="G127" s="395"/>
      <c r="H127" s="395"/>
      <c r="I127" s="395"/>
      <c r="J127" s="395"/>
      <c r="K127" s="395"/>
      <c r="L127" s="395"/>
      <c r="M127" s="395"/>
      <c r="N127" s="395"/>
      <c r="O127" s="395"/>
      <c r="P127" s="395"/>
    </row>
    <row r="129" spans="2:16" ht="16.5" thickBot="1">
      <c r="B129" s="220"/>
      <c r="C129" s="488" t="s">
        <v>418</v>
      </c>
      <c r="D129" s="488"/>
      <c r="E129" s="488"/>
      <c r="F129" s="488"/>
      <c r="G129" s="488"/>
      <c r="H129" s="488"/>
      <c r="I129" s="488"/>
      <c r="J129" s="221"/>
      <c r="K129" s="221"/>
      <c r="L129" s="221"/>
      <c r="M129" s="221"/>
      <c r="N129" s="221"/>
      <c r="O129" s="221"/>
      <c r="P129" s="221"/>
    </row>
    <row r="130" spans="2:16" ht="15.75">
      <c r="B130" s="63"/>
      <c r="C130" s="103"/>
      <c r="D130" s="24"/>
      <c r="E130" s="24"/>
      <c r="F130" s="24"/>
      <c r="G130" s="24"/>
      <c r="H130" s="24"/>
      <c r="I130" s="103"/>
      <c r="J130" s="1"/>
      <c r="K130" s="1"/>
      <c r="L130" s="1"/>
      <c r="M130" s="1"/>
      <c r="N130" s="1"/>
      <c r="O130" s="1"/>
      <c r="P130" s="1"/>
    </row>
    <row r="131" spans="2:16" ht="15.75">
      <c r="B131" s="103"/>
      <c r="C131" s="60"/>
      <c r="D131" s="393"/>
      <c r="E131" s="393"/>
      <c r="F131" s="393"/>
      <c r="G131" s="393"/>
      <c r="H131" s="393"/>
      <c r="I131" s="393"/>
      <c r="J131" s="393"/>
      <c r="K131" s="393"/>
      <c r="L131" s="393"/>
      <c r="M131" s="393"/>
      <c r="N131" s="393"/>
      <c r="O131" s="393"/>
    </row>
    <row r="132" spans="2:16" ht="15.75" customHeight="1">
      <c r="B132" s="103"/>
      <c r="C132" s="575" t="str">
        <f>IFERROR(IF(AND(1-('Mon Entreprise'!M130+'Mon Entreprise'!M132)/('Mon Entreprise'!I130+'Mon Entreprise'!I132)&gt;=0.5,OR('Mes Aides'!AB442="OUI",'Mes Aides'!AB443="OUI",'Mes Aides'!AB444="OUI",'Mes Aides'!AB445=TRUE,'Mes Aides'!AB446=TRUE)),"L'entreprises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132" s="575"/>
      <c r="E132" s="575"/>
      <c r="F132" s="575"/>
      <c r="G132" s="575"/>
      <c r="H132" s="575"/>
      <c r="I132" s="575"/>
      <c r="J132" s="575"/>
      <c r="K132" s="575"/>
      <c r="L132" s="575"/>
      <c r="M132" s="575"/>
      <c r="N132" s="575"/>
      <c r="O132" s="575"/>
      <c r="P132" s="575"/>
    </row>
    <row r="133" spans="2:16" ht="15" customHeight="1">
      <c r="C133" s="575"/>
      <c r="D133" s="575"/>
      <c r="E133" s="575"/>
      <c r="F133" s="575"/>
      <c r="G133" s="575"/>
      <c r="H133" s="575"/>
      <c r="I133" s="575"/>
      <c r="J133" s="575"/>
      <c r="K133" s="575"/>
      <c r="L133" s="575"/>
      <c r="M133" s="575"/>
      <c r="N133" s="575"/>
      <c r="O133" s="575"/>
      <c r="P133" s="575"/>
    </row>
    <row r="134" spans="2:16" ht="15" customHeight="1">
      <c r="C134" s="575"/>
      <c r="D134" s="575"/>
      <c r="E134" s="575"/>
      <c r="F134" s="575"/>
      <c r="G134" s="575"/>
      <c r="H134" s="575"/>
      <c r="I134" s="575"/>
      <c r="J134" s="575"/>
      <c r="K134" s="575"/>
      <c r="L134" s="575"/>
      <c r="M134" s="575"/>
      <c r="N134" s="575"/>
      <c r="O134" s="575"/>
      <c r="P134" s="575"/>
    </row>
    <row r="135" spans="2:16">
      <c r="C135" s="282" t="str">
        <f>IF('Mon Entreprise'!K8&lt;=Annexes!O19,"þ","ý")</f>
        <v>þ</v>
      </c>
      <c r="D135" s="283" t="s">
        <v>480</v>
      </c>
      <c r="E135" s="40"/>
    </row>
    <row r="136" spans="2:16">
      <c r="C136" s="282" t="str">
        <f>IF('Mes Aides'!AB198&gt;=0.1,"þ","ý")</f>
        <v>ý</v>
      </c>
      <c r="D136" s="283" t="s">
        <v>363</v>
      </c>
      <c r="E136" s="40"/>
    </row>
    <row r="137" spans="2:16">
      <c r="C137" s="282" t="str">
        <f>IF(OR('Mon Entreprise'!I96&gt;=12000000,'Mon Entreprise'!I130&gt;=1000000,Q16&gt;=12000000),"þ","ý")</f>
        <v>ý</v>
      </c>
      <c r="D137" s="283" t="s">
        <v>364</v>
      </c>
      <c r="E137" s="40"/>
    </row>
    <row r="138" spans="2:16">
      <c r="C138" s="282" t="str">
        <f>IF('Mes Aides'!AB432&gt;=0.5,"þ","ý")</f>
        <v>ý</v>
      </c>
      <c r="D138" s="283" t="s">
        <v>481</v>
      </c>
      <c r="E138" s="40"/>
    </row>
    <row r="139" spans="2:16">
      <c r="C139" s="282" t="str">
        <f>IF((S35+V35)/2&lt;0,"þ","ý")</f>
        <v>ý</v>
      </c>
      <c r="D139" s="283" t="s">
        <v>536</v>
      </c>
      <c r="E139" s="40"/>
    </row>
    <row r="141" spans="2:16" ht="15" customHeight="1">
      <c r="C141" s="576" t="str">
        <f>IF(AND(C135=AJ23,C136=AJ23,C137=AJ23,C138=AJ23,C139=AJ23),"L'entreprise remplie l'ensemble des conditions pour obtenir l'aide exceptionnelle pour la prise en charge des coûts fixes.",IF(AND(C135=AJ23,C139=AJ23,OR(C136=AJ24,C137=AJ24,C138=AJ24),AND(Annexes!V6&gt;=Annexes!X6,Annexes!V6&lt;=Annexes!X7)),"L'entreprise ne remplie pas les conditions de CA mais fait partie des entreprises des secteurs sans critères pour obtenir l'aide exceptionnelle pour la prise en charge des coûts fixes.",IF(AND(OR(C135=AJ24,C139=AJ24),AND(Annexes!V6&gt;=Annexes!X6,Annexes!V6&lt;=Annexes!X7)),"L'entreprise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41" s="576"/>
      <c r="E141" s="576"/>
      <c r="F141" s="576"/>
      <c r="G141" s="576"/>
      <c r="H141" s="576"/>
      <c r="I141" s="576"/>
      <c r="J141" s="576"/>
      <c r="K141" s="576"/>
      <c r="L141" s="576"/>
      <c r="M141" s="576"/>
      <c r="N141" s="576"/>
      <c r="O141" s="576"/>
      <c r="P141" s="576"/>
    </row>
    <row r="142" spans="2:16">
      <c r="C142" s="576"/>
      <c r="D142" s="576"/>
      <c r="E142" s="576"/>
      <c r="F142" s="576"/>
      <c r="G142" s="576"/>
      <c r="H142" s="576"/>
      <c r="I142" s="576"/>
      <c r="J142" s="576"/>
      <c r="K142" s="576"/>
      <c r="L142" s="576"/>
      <c r="M142" s="576"/>
      <c r="N142" s="576"/>
      <c r="O142" s="576"/>
      <c r="P142" s="576"/>
    </row>
    <row r="144" spans="2:16">
      <c r="C144" s="284" t="s">
        <v>371</v>
      </c>
      <c r="D144" s="285"/>
    </row>
    <row r="145" spans="2:16" ht="15.75" thickBot="1"/>
    <row r="146" spans="2:16" ht="15" customHeight="1">
      <c r="C146" s="577" t="str">
        <f>IFERROR(IF(AM32=0,"Vous ne pouvez pas bénéficier de l'aide, les conditions ne sont pas respectées",IF(AM32=1,IF(AND(G16&gt;=50,K16&gt;=10000000),"L'entreprise à plus de 50 salariés et un bilan total supérieur à 10 M€, le dispositif couvre 70 % des pertes d'exploitation","L'entreprise à moins de 50 salariés ou un bilan de moins de 10 M€, le dispositif couvre 90 % des pertes d'exploitation")))&amp;IF(AM32=0,". ",IF(AL32&gt;=10000000,", cependant le plafond de 10 M€ est déjà atteint pour l'année 2021. ",". ")&amp;IF(AM32=0,"","Dans votre cas, l'aide est de "&amp;ROUND(AK32,0)&amp;" €.")),"")</f>
        <v xml:space="preserve">Vous ne pouvez pas bénéficier de l'aide, les conditions ne sont pas respectées. </v>
      </c>
      <c r="D146" s="578"/>
      <c r="E146" s="578"/>
      <c r="F146" s="578"/>
      <c r="G146" s="578"/>
      <c r="H146" s="578"/>
      <c r="I146" s="578"/>
      <c r="J146" s="578"/>
      <c r="K146" s="578"/>
      <c r="L146" s="578"/>
      <c r="M146" s="578"/>
      <c r="N146" s="578"/>
      <c r="O146" s="578"/>
      <c r="P146" s="579"/>
    </row>
    <row r="147" spans="2:16" ht="15" customHeight="1">
      <c r="C147" s="580"/>
      <c r="D147" s="581"/>
      <c r="E147" s="581"/>
      <c r="F147" s="581"/>
      <c r="G147" s="581"/>
      <c r="H147" s="581"/>
      <c r="I147" s="581"/>
      <c r="J147" s="581"/>
      <c r="K147" s="581"/>
      <c r="L147" s="581"/>
      <c r="M147" s="581"/>
      <c r="N147" s="581"/>
      <c r="O147" s="581"/>
      <c r="P147" s="582"/>
    </row>
    <row r="148" spans="2:16" ht="15.75" customHeight="1" thickBot="1">
      <c r="C148" s="583"/>
      <c r="D148" s="584"/>
      <c r="E148" s="584"/>
      <c r="F148" s="584"/>
      <c r="G148" s="584"/>
      <c r="H148" s="584"/>
      <c r="I148" s="584"/>
      <c r="J148" s="584"/>
      <c r="K148" s="584"/>
      <c r="L148" s="584"/>
      <c r="M148" s="584"/>
      <c r="N148" s="584"/>
      <c r="O148" s="584"/>
      <c r="P148" s="585"/>
    </row>
    <row r="149" spans="2:16" ht="15.75">
      <c r="C149" s="395"/>
      <c r="D149" s="395"/>
      <c r="E149" s="395"/>
      <c r="F149" s="395"/>
      <c r="G149" s="395"/>
      <c r="H149" s="395"/>
      <c r="I149" s="395"/>
      <c r="J149" s="395"/>
      <c r="K149" s="395"/>
      <c r="L149" s="395"/>
      <c r="M149" s="395"/>
      <c r="N149" s="395"/>
      <c r="O149" s="395"/>
      <c r="P149" s="395"/>
    </row>
    <row r="150" spans="2:16" ht="15.75">
      <c r="C150" s="395"/>
      <c r="D150" s="395"/>
      <c r="E150" s="395"/>
      <c r="F150" s="395"/>
      <c r="G150" s="395"/>
      <c r="H150" s="395"/>
      <c r="I150" s="395"/>
      <c r="J150" s="395"/>
      <c r="K150" s="395"/>
      <c r="L150" s="395"/>
      <c r="M150" s="395"/>
      <c r="N150" s="395"/>
      <c r="O150" s="395"/>
      <c r="P150" s="395"/>
    </row>
    <row r="151" spans="2:16" ht="16.5" thickBot="1">
      <c r="B151" s="220"/>
      <c r="C151" s="488" t="s">
        <v>419</v>
      </c>
      <c r="D151" s="488"/>
      <c r="E151" s="488"/>
      <c r="F151" s="488"/>
      <c r="G151" s="488"/>
      <c r="H151" s="488"/>
      <c r="I151" s="488"/>
      <c r="J151" s="221"/>
      <c r="K151" s="221"/>
      <c r="L151" s="221"/>
      <c r="M151" s="221"/>
      <c r="N151" s="221"/>
      <c r="O151" s="221"/>
      <c r="P151" s="221"/>
    </row>
    <row r="152" spans="2:16">
      <c r="B152" s="314"/>
      <c r="I152" s="314"/>
    </row>
    <row r="153" spans="2:16" ht="15.75">
      <c r="B153" s="103"/>
      <c r="C153" s="60"/>
      <c r="D153" s="393"/>
      <c r="E153" s="393"/>
      <c r="F153" s="393"/>
      <c r="G153" s="393"/>
      <c r="H153" s="393"/>
      <c r="I153" s="393"/>
      <c r="J153" s="393"/>
      <c r="K153" s="393"/>
      <c r="L153" s="393"/>
      <c r="M153" s="393"/>
      <c r="N153" s="393"/>
      <c r="O153" s="393"/>
    </row>
    <row r="154" spans="2:16" ht="15.75" customHeight="1">
      <c r="B154" s="103"/>
      <c r="C154" s="575" t="str">
        <f>IFERROR(IF(AND(1-('Mon Entreprise'!M130+'Mon Entreprise'!M132)/('Mon Entreprise'!I130+'Mon Entreprise'!I132)&gt;=0.5,OR('Mes Aides'!AB508="OUI",'Mes Aides'!AB509="OUI",'Mes Aides'!AB510="OUI",'Mes Aides'!AB511=TRUE)),"L'entreprises fait l’objet d’une interdiction d’accueil du public ou appartenant aux secteurs mentionnés en annexe 1 ou 2 (S1 et S1 bis)","L'entreprises ne fait pas l’objet d’une interdiction d’accueil du public ou appartenant aux secteurs mentionnés en annexe 1 et annexe 2 (S1 et S1 bis)"),"L'onglet 'Mon entreprise' n'a pas été entièrement complété.")</f>
        <v>L'onglet 'Mon entreprise' n'a pas été entièrement complété.</v>
      </c>
      <c r="D154" s="575"/>
      <c r="E154" s="575"/>
      <c r="F154" s="575"/>
      <c r="G154" s="575"/>
      <c r="H154" s="575"/>
      <c r="I154" s="575"/>
      <c r="J154" s="575"/>
      <c r="K154" s="575"/>
      <c r="L154" s="575"/>
      <c r="M154" s="575"/>
      <c r="N154" s="575"/>
      <c r="O154" s="575"/>
      <c r="P154" s="575"/>
    </row>
    <row r="155" spans="2:16" ht="15" customHeight="1">
      <c r="C155" s="575"/>
      <c r="D155" s="575"/>
      <c r="E155" s="575"/>
      <c r="F155" s="575"/>
      <c r="G155" s="575"/>
      <c r="H155" s="575"/>
      <c r="I155" s="575"/>
      <c r="J155" s="575"/>
      <c r="K155" s="575"/>
      <c r="L155" s="575"/>
      <c r="M155" s="575"/>
      <c r="N155" s="575"/>
      <c r="O155" s="575"/>
      <c r="P155" s="575"/>
    </row>
    <row r="156" spans="2:16" ht="15" customHeight="1">
      <c r="C156" s="575"/>
      <c r="D156" s="575"/>
      <c r="E156" s="575"/>
      <c r="F156" s="575"/>
      <c r="G156" s="575"/>
      <c r="H156" s="575"/>
      <c r="I156" s="575"/>
      <c r="J156" s="575"/>
      <c r="K156" s="575"/>
      <c r="L156" s="575"/>
      <c r="M156" s="575"/>
      <c r="N156" s="575"/>
      <c r="O156" s="575"/>
      <c r="P156" s="575"/>
    </row>
    <row r="157" spans="2:16">
      <c r="C157" s="282" t="str">
        <f>IF('Mon Entreprise'!K8&lt;=Annexes!O19,"þ","ý")</f>
        <v>þ</v>
      </c>
      <c r="D157" s="283" t="s">
        <v>480</v>
      </c>
      <c r="E157" s="40"/>
    </row>
    <row r="158" spans="2:16">
      <c r="C158" s="282" t="str">
        <f>IF('Mes Aides'!AB198&gt;=0.1,"þ","ý")</f>
        <v>ý</v>
      </c>
      <c r="D158" s="283" t="s">
        <v>363</v>
      </c>
      <c r="E158" s="40"/>
    </row>
    <row r="159" spans="2:16">
      <c r="C159" s="282" t="str">
        <f>IF(OR('Mon Entreprise'!I96&gt;=12000000,'Mon Entreprise'!I132&gt;=1000000,Q16&gt;=12000000),"þ","ý")</f>
        <v>ý</v>
      </c>
      <c r="D159" s="283" t="s">
        <v>364</v>
      </c>
      <c r="E159" s="40"/>
    </row>
    <row r="160" spans="2:16">
      <c r="C160" s="282" t="str">
        <f>IF('Mes Aides'!AB497&gt;=0.5,"þ","ý")</f>
        <v>ý</v>
      </c>
      <c r="D160" s="283" t="s">
        <v>532</v>
      </c>
      <c r="E160" s="40"/>
    </row>
    <row r="161" spans="2:16">
      <c r="C161" s="282" t="str">
        <f>IF((S35+V35)/2&lt;0,"þ","ý")</f>
        <v>ý</v>
      </c>
      <c r="D161" s="283" t="s">
        <v>537</v>
      </c>
      <c r="E161" s="40"/>
    </row>
    <row r="163" spans="2:16" ht="15" customHeight="1">
      <c r="C163" s="576" t="str">
        <f>IF(AND(C157=AJ45,C158=AJ45,C159=AJ45,C160=AJ45,C161=AJ45),"L'entreprise remplie l'ensemble des conditions pour obtenir l'aide exceptionnelle pour la prise en charge des coûts fixes.",IF(AND(C157=AJ45,C161=AJ45,OR(C158=AJ46,C159=AJ46,C160=AJ46),AND(Annexes!V6&gt;=Annexes!X6,Annexes!V6&lt;=Annexes!X7)),"L'entreprise ne remplie pas les conditions de CA mais fait partie des entreprises des secteurs sans critères pour obtenir l'aide exceptionnelle pour la prise en charge des coûts fixes.",IF(AND(OR(C157=AJ46,C161=AJ46),AND(Annexes!V6&gt;=Annexes!X6,Annexes!V6&lt;=Annexes!X7)),"L'entreprise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63" s="576"/>
      <c r="E163" s="576"/>
      <c r="F163" s="576"/>
      <c r="G163" s="576"/>
      <c r="H163" s="576"/>
      <c r="I163" s="576"/>
      <c r="J163" s="576"/>
      <c r="K163" s="576"/>
      <c r="L163" s="576"/>
      <c r="M163" s="576"/>
      <c r="N163" s="576"/>
      <c r="O163" s="576"/>
      <c r="P163" s="576"/>
    </row>
    <row r="164" spans="2:16">
      <c r="C164" s="576"/>
      <c r="D164" s="576"/>
      <c r="E164" s="576"/>
      <c r="F164" s="576"/>
      <c r="G164" s="576"/>
      <c r="H164" s="576"/>
      <c r="I164" s="576"/>
      <c r="J164" s="576"/>
      <c r="K164" s="576"/>
      <c r="L164" s="576"/>
      <c r="M164" s="576"/>
      <c r="N164" s="576"/>
      <c r="O164" s="576"/>
      <c r="P164" s="576"/>
    </row>
    <row r="166" spans="2:16">
      <c r="C166" s="284" t="s">
        <v>371</v>
      </c>
      <c r="G166" s="285"/>
    </row>
    <row r="167" spans="2:16" ht="15.75" thickBot="1"/>
    <row r="168" spans="2:16" ht="15" customHeight="1">
      <c r="C168" s="577" t="str">
        <f>IFERROR(IF(AM33=0,"Vous ne pouvez pas bénéficier de l'aide, les conditions ne sont pas respectées",IF(AM33=1,IF(AND(G16&gt;=50,K16&gt;=10000000),"L'entreprise à plus de 50 salariés et un bilan total supérieur à 10 M€, le dispositif couvre 70 % des pertes d'exploitation","L'entreprise à moins de 50 salariés ou un bilan de moins de 10 M€, le dispositif couvre 90 % des pertes d'exploitation")))&amp;IF(AM33=0,". ",IF(AL33&gt;=10000000,", cependant le plafond de 10 M€ est déjà atteint pour l'année 2021. ",". ")&amp;IF(AM33=0,"","Dans votre cas, l'aide est de "&amp;ROUND(AK33,0)&amp;" €.")),"")</f>
        <v xml:space="preserve">Vous ne pouvez pas bénéficier de l'aide, les conditions ne sont pas respectées. </v>
      </c>
      <c r="D168" s="578"/>
      <c r="E168" s="578"/>
      <c r="F168" s="578"/>
      <c r="G168" s="578"/>
      <c r="H168" s="578"/>
      <c r="I168" s="578"/>
      <c r="J168" s="578"/>
      <c r="K168" s="578"/>
      <c r="L168" s="578"/>
      <c r="M168" s="578"/>
      <c r="N168" s="578"/>
      <c r="O168" s="578"/>
      <c r="P168" s="579"/>
    </row>
    <row r="169" spans="2:16" ht="15" customHeight="1">
      <c r="C169" s="580"/>
      <c r="D169" s="581"/>
      <c r="E169" s="581"/>
      <c r="F169" s="581"/>
      <c r="G169" s="581"/>
      <c r="H169" s="581"/>
      <c r="I169" s="581"/>
      <c r="J169" s="581"/>
      <c r="K169" s="581"/>
      <c r="L169" s="581"/>
      <c r="M169" s="581"/>
      <c r="N169" s="581"/>
      <c r="O169" s="581"/>
      <c r="P169" s="582"/>
    </row>
    <row r="170" spans="2:16" ht="15.75" customHeight="1" thickBot="1">
      <c r="C170" s="583"/>
      <c r="D170" s="584"/>
      <c r="E170" s="584"/>
      <c r="F170" s="584"/>
      <c r="G170" s="584"/>
      <c r="H170" s="584"/>
      <c r="I170" s="584"/>
      <c r="J170" s="584"/>
      <c r="K170" s="584"/>
      <c r="L170" s="584"/>
      <c r="M170" s="584"/>
      <c r="N170" s="584"/>
      <c r="O170" s="584"/>
      <c r="P170" s="585"/>
    </row>
    <row r="171" spans="2:16" ht="15.75">
      <c r="C171" s="395"/>
      <c r="D171" s="395"/>
      <c r="E171" s="395"/>
      <c r="F171" s="395"/>
      <c r="G171" s="395"/>
      <c r="H171" s="395"/>
      <c r="I171" s="395"/>
      <c r="J171" s="395"/>
      <c r="K171" s="395"/>
      <c r="L171" s="395"/>
      <c r="M171" s="395"/>
      <c r="N171" s="395"/>
      <c r="O171" s="395"/>
      <c r="P171" s="395"/>
    </row>
    <row r="172" spans="2:16">
      <c r="C172" s="315"/>
    </row>
    <row r="173" spans="2:16" ht="16.5" thickBot="1">
      <c r="B173" s="220"/>
      <c r="C173" s="488" t="s">
        <v>518</v>
      </c>
      <c r="D173" s="488"/>
      <c r="E173" s="488"/>
      <c r="F173" s="488"/>
      <c r="G173" s="488"/>
      <c r="H173" s="488"/>
      <c r="I173" s="488"/>
      <c r="J173" s="221"/>
      <c r="K173" s="221"/>
      <c r="L173" s="221"/>
      <c r="M173" s="221"/>
      <c r="N173" s="221"/>
      <c r="O173" s="221"/>
      <c r="P173" s="221"/>
    </row>
    <row r="174" spans="2:16">
      <c r="B174" s="314"/>
      <c r="I174" s="1"/>
    </row>
    <row r="175" spans="2:16" ht="15.75">
      <c r="B175" s="103"/>
      <c r="C175" s="60"/>
      <c r="D175" s="393"/>
      <c r="E175" s="393"/>
      <c r="F175" s="393"/>
      <c r="G175" s="393"/>
      <c r="H175" s="393"/>
      <c r="I175" s="393"/>
      <c r="J175" s="393"/>
      <c r="K175" s="393"/>
      <c r="L175" s="393"/>
      <c r="M175" s="393"/>
      <c r="N175" s="393"/>
      <c r="O175" s="393"/>
    </row>
    <row r="176" spans="2:16" ht="15.75" customHeight="1">
      <c r="B176" s="103"/>
      <c r="C176" s="575" t="str">
        <f>IFERROR(IF(AND(1-('Mon Entreprise'!M134+'Mon Entreprise'!M136)/('Mon Entreprise'!I134+'Mon Entreprise'!I136)&gt;=0.5,OR('Mes Aides'!AB567="OUI",'Mes Aides'!AB568="OUI",'Mes Aides'!AB569="OUI",Annexes!M38=TRUE)),"L'entreprises fait l’objet d’une interdiction d’accueil du public ou appartenant aux secteurs mentionnés en annexe 1 ou 2 (S1 et S1 bis)","L'entreprises ne fait pas l’objet d’une interdiction d’accueil du public ou appartenant aux secteurs mentionnés en annexe 1 et annexe 2 (S1 et S1 bis)"),"L'onglet 'Mon entreprise' n'a pas été entièrement complété.")</f>
        <v>L'onglet 'Mon entreprise' n'a pas été entièrement complété.</v>
      </c>
      <c r="D176" s="575"/>
      <c r="E176" s="575"/>
      <c r="F176" s="575"/>
      <c r="G176" s="575"/>
      <c r="H176" s="575"/>
      <c r="I176" s="575"/>
      <c r="J176" s="575"/>
      <c r="K176" s="575"/>
      <c r="L176" s="575"/>
      <c r="M176" s="575"/>
      <c r="N176" s="575"/>
      <c r="O176" s="575"/>
      <c r="P176" s="575"/>
    </row>
    <row r="177" spans="3:16" ht="15" customHeight="1">
      <c r="C177" s="575"/>
      <c r="D177" s="575"/>
      <c r="E177" s="575"/>
      <c r="F177" s="575"/>
      <c r="G177" s="575"/>
      <c r="H177" s="575"/>
      <c r="I177" s="575"/>
      <c r="J177" s="575"/>
      <c r="K177" s="575"/>
      <c r="L177" s="575"/>
      <c r="M177" s="575"/>
      <c r="N177" s="575"/>
      <c r="O177" s="575"/>
      <c r="P177" s="575"/>
    </row>
    <row r="178" spans="3:16" ht="15" customHeight="1">
      <c r="C178" s="575"/>
      <c r="D178" s="575"/>
      <c r="E178" s="575"/>
      <c r="F178" s="575"/>
      <c r="G178" s="575"/>
      <c r="H178" s="575"/>
      <c r="I178" s="575"/>
      <c r="J178" s="575"/>
      <c r="K178" s="575"/>
      <c r="L178" s="575"/>
      <c r="M178" s="575"/>
      <c r="N178" s="575"/>
      <c r="O178" s="575"/>
      <c r="P178" s="575"/>
    </row>
    <row r="179" spans="3:16">
      <c r="C179" s="282" t="str">
        <f>IF('Mon Entreprise'!K8&lt;=Annexes!O22,"þ","ý")</f>
        <v>þ</v>
      </c>
      <c r="D179" s="283" t="s">
        <v>541</v>
      </c>
      <c r="E179" s="40"/>
    </row>
    <row r="180" spans="3:16">
      <c r="C180" s="282" t="str">
        <f>IF(OR('Mes Aides'!AB583&gt;=1,'Mes Aides'!AB584&gt;=1,'Mes Aides'!AB585&gt;=1),"þ","ý")</f>
        <v>ý</v>
      </c>
      <c r="D180" s="283" t="s">
        <v>542</v>
      </c>
      <c r="E180" s="40"/>
    </row>
    <row r="181" spans="3:16">
      <c r="C181" s="282" t="str">
        <f>IF(OR('Mon Entreprise'!I96&gt;=12000000,'Mon Entreprise'!I132&gt;=1000000,Q16&gt;=12000000),"þ","ý")</f>
        <v>ý</v>
      </c>
      <c r="D181" s="283" t="s">
        <v>364</v>
      </c>
      <c r="E181" s="40"/>
    </row>
    <row r="182" spans="3:16">
      <c r="C182" s="282" t="str">
        <f>IF('Mes Aides'!AB555&gt;=0.5,"þ","ý")</f>
        <v>ý</v>
      </c>
      <c r="D182" s="283" t="s">
        <v>533</v>
      </c>
      <c r="E182" s="40"/>
    </row>
    <row r="183" spans="3:16">
      <c r="C183" s="282" t="str">
        <f>IF((Y35+AB35)/2&lt;0,"þ","ý")</f>
        <v>ý</v>
      </c>
      <c r="D183" s="283" t="s">
        <v>538</v>
      </c>
      <c r="E183" s="40"/>
    </row>
    <row r="185" spans="3:16" ht="15" customHeight="1">
      <c r="C185" s="576" t="str">
        <f>IF(AND(C179=AJ23,C180=AJ23,C181=AJ23,C182=AJ23,C183=AJ23),"L'entreprise remplie l'ensemble des conditions pour obtenir l'aide exceptionnelle pour la prise en charge des coûts fixes.",IF(AND(C179=AJ23,C183=AJ23,C180=AJ23,C182=AJ23,AND(Annexes!V6&gt;=Annexes!X6,Annexes!V6&lt;=Annexes!X7)),"L'entreprise ne remplie pas les conditions de CA mais fait partie des entreprises des secteurs sans critères pour obtenir l'aide exceptionnelle pour la prise en charge des coûts fixes.",IF(AND(OR(C179=AJ24,C183=AJ24,C180=AJ24,C182=AJ24),AND(Annexes!V6&gt;=Annexes!X6,Annexes!V6&lt;=Annexes!X7)),"L'entreprise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85" s="576"/>
      <c r="E185" s="576"/>
      <c r="F185" s="576"/>
      <c r="G185" s="576"/>
      <c r="H185" s="576"/>
      <c r="I185" s="576"/>
      <c r="J185" s="576"/>
      <c r="K185" s="576"/>
      <c r="L185" s="576"/>
      <c r="M185" s="576"/>
      <c r="N185" s="576"/>
      <c r="O185" s="576"/>
      <c r="P185" s="576"/>
    </row>
    <row r="186" spans="3:16">
      <c r="C186" s="576"/>
      <c r="D186" s="576"/>
      <c r="E186" s="576"/>
      <c r="F186" s="576"/>
      <c r="G186" s="576"/>
      <c r="H186" s="576"/>
      <c r="I186" s="576"/>
      <c r="J186" s="576"/>
      <c r="K186" s="576"/>
      <c r="L186" s="576"/>
      <c r="M186" s="576"/>
      <c r="N186" s="576"/>
      <c r="O186" s="576"/>
      <c r="P186" s="576"/>
    </row>
    <row r="188" spans="3:16">
      <c r="C188" s="284" t="s">
        <v>371</v>
      </c>
      <c r="D188" s="285"/>
    </row>
    <row r="189" spans="3:16" ht="15.75" thickBot="1"/>
    <row r="190" spans="3:16" ht="15" customHeight="1">
      <c r="C190" s="577" t="str">
        <f>IFERROR(IF(AM34=0,"Vous ne pouvez pas bénéficier de l'aide, les conditions ne sont pas respectées",IF(AM34=1,IF(AND(G16&gt;=50,K16&gt;=10000000),"L'entreprise à plus de 50 salariés et un bilan total supérieur à 10 M€, le dispositif couvre 70 % des pertes d'exploitation","L'entreprise à moins de 50 salariés ou un bilan de moins de 10 M€, le dispositif couvre 90 % des pertes d'exploitation")))&amp;IF(AM34=0,". ",IF(AL34&gt;=10000000,", cependant le plafond de 10 M€ est déjà atteint pour l'année 2021. ",". ")&amp;IF(AM34=0,"","Dans votre cas, l'aide est de "&amp;ROUND(AK34,0)&amp;" €.")),"")</f>
        <v xml:space="preserve">Vous ne pouvez pas bénéficier de l'aide, les conditions ne sont pas respectées. </v>
      </c>
      <c r="D190" s="578"/>
      <c r="E190" s="578"/>
      <c r="F190" s="578"/>
      <c r="G190" s="578"/>
      <c r="H190" s="578"/>
      <c r="I190" s="578"/>
      <c r="J190" s="578"/>
      <c r="K190" s="578"/>
      <c r="L190" s="578"/>
      <c r="M190" s="578"/>
      <c r="N190" s="578"/>
      <c r="O190" s="578"/>
      <c r="P190" s="579"/>
    </row>
    <row r="191" spans="3:16" ht="15" customHeight="1">
      <c r="C191" s="580"/>
      <c r="D191" s="581"/>
      <c r="E191" s="581"/>
      <c r="F191" s="581"/>
      <c r="G191" s="581"/>
      <c r="H191" s="581"/>
      <c r="I191" s="581"/>
      <c r="J191" s="581"/>
      <c r="K191" s="581"/>
      <c r="L191" s="581"/>
      <c r="M191" s="581"/>
      <c r="N191" s="581"/>
      <c r="O191" s="581"/>
      <c r="P191" s="582"/>
    </row>
    <row r="192" spans="3:16" ht="15.75" customHeight="1" thickBot="1">
      <c r="C192" s="583"/>
      <c r="D192" s="584"/>
      <c r="E192" s="584"/>
      <c r="F192" s="584"/>
      <c r="G192" s="584"/>
      <c r="H192" s="584"/>
      <c r="I192" s="584"/>
      <c r="J192" s="584"/>
      <c r="K192" s="584"/>
      <c r="L192" s="584"/>
      <c r="M192" s="584"/>
      <c r="N192" s="584"/>
      <c r="O192" s="584"/>
      <c r="P192" s="585"/>
    </row>
    <row r="195" spans="2:16" ht="16.5" thickBot="1">
      <c r="B195" s="220"/>
      <c r="C195" s="488" t="s">
        <v>519</v>
      </c>
      <c r="D195" s="488"/>
      <c r="E195" s="488"/>
      <c r="F195" s="488"/>
      <c r="G195" s="488"/>
      <c r="H195" s="488"/>
      <c r="I195" s="488"/>
      <c r="J195" s="221"/>
      <c r="K195" s="221"/>
      <c r="L195" s="221"/>
      <c r="M195" s="221"/>
      <c r="N195" s="221"/>
      <c r="O195" s="221"/>
      <c r="P195" s="221"/>
    </row>
    <row r="196" spans="2:16">
      <c r="B196" s="314"/>
      <c r="I196" s="1"/>
    </row>
    <row r="197" spans="2:16" ht="15.75">
      <c r="B197" s="103"/>
      <c r="C197" s="60"/>
      <c r="D197" s="393"/>
      <c r="E197" s="393"/>
      <c r="F197" s="393"/>
      <c r="G197" s="393"/>
      <c r="H197" s="393"/>
      <c r="I197" s="393"/>
      <c r="J197" s="393"/>
      <c r="K197" s="393"/>
      <c r="L197" s="393"/>
      <c r="M197" s="393"/>
      <c r="N197" s="393"/>
      <c r="O197" s="393"/>
    </row>
    <row r="198" spans="2:16" ht="15.75" customHeight="1">
      <c r="B198" s="103"/>
      <c r="C198" s="575" t="str">
        <f>IFERROR(IF(AND(1-('Mon Entreprise'!M134+'Mon Entreprise'!M136)/('Mon Entreprise'!I134+'Mon Entreprise'!I136)&gt;=0.5,OR('Mes Aides'!AB627="OUI",'Mes Aides'!AB628="OUI",'Mes Aides'!AB629="OUI",Annexes!M41=TRUE)),"L'entreprises fait l’objet d’une interdiction d’accueil du public ou appartenant aux secteurs mentionnés en annexe 1 ou 2 (S1 et S1 bis)","L'entreprises ne fait pas l’objet d’une interdiction d’accueil du public ou appartenant aux secteurs mentionnés en annexe 1 et annexe 2 (S1 et S1 bis)"),"L'onglet 'Mon entreprise' n'a pas été entièrement complété.")</f>
        <v>L'onglet 'Mon entreprise' n'a pas été entièrement complété.</v>
      </c>
      <c r="D198" s="575"/>
      <c r="E198" s="575"/>
      <c r="F198" s="575"/>
      <c r="G198" s="575"/>
      <c r="H198" s="575"/>
      <c r="I198" s="575"/>
      <c r="J198" s="575"/>
      <c r="K198" s="575"/>
      <c r="L198" s="575"/>
      <c r="M198" s="575"/>
      <c r="N198" s="575"/>
      <c r="O198" s="575"/>
      <c r="P198" s="575"/>
    </row>
    <row r="199" spans="2:16" ht="15" customHeight="1">
      <c r="C199" s="575"/>
      <c r="D199" s="575"/>
      <c r="E199" s="575"/>
      <c r="F199" s="575"/>
      <c r="G199" s="575"/>
      <c r="H199" s="575"/>
      <c r="I199" s="575"/>
      <c r="J199" s="575"/>
      <c r="K199" s="575"/>
      <c r="L199" s="575"/>
      <c r="M199" s="575"/>
      <c r="N199" s="575"/>
      <c r="O199" s="575"/>
      <c r="P199" s="575"/>
    </row>
    <row r="200" spans="2:16" ht="15" customHeight="1">
      <c r="C200" s="575"/>
      <c r="D200" s="575"/>
      <c r="E200" s="575"/>
      <c r="F200" s="575"/>
      <c r="G200" s="575"/>
      <c r="H200" s="575"/>
      <c r="I200" s="575"/>
      <c r="J200" s="575"/>
      <c r="K200" s="575"/>
      <c r="L200" s="575"/>
      <c r="M200" s="575"/>
      <c r="N200" s="575"/>
      <c r="O200" s="575"/>
      <c r="P200" s="575"/>
    </row>
    <row r="201" spans="2:16">
      <c r="C201" s="282" t="str">
        <f>IF('Mon Entreprise'!K8&lt;=Annexes!O22,"þ","ý")</f>
        <v>þ</v>
      </c>
      <c r="D201" s="283" t="s">
        <v>541</v>
      </c>
      <c r="E201" s="40"/>
    </row>
    <row r="202" spans="2:16">
      <c r="C202" s="282" t="str">
        <f>IF(OR('Mes Aides'!AB645&gt;=1,'Mes Aides'!AB646&gt;=1,'Mes Aides'!AB647&gt;=1),"þ","ý")</f>
        <v>ý</v>
      </c>
      <c r="D202" s="283" t="s">
        <v>543</v>
      </c>
      <c r="E202" s="40"/>
    </row>
    <row r="203" spans="2:16">
      <c r="C203" s="282" t="str">
        <f>IF(OR('Mon Entreprise'!I96&gt;=12000000,'Mon Entreprise'!I136&gt;=1000000,Q16&gt;=12000000),"þ","ý")</f>
        <v>ý</v>
      </c>
      <c r="D203" s="283" t="s">
        <v>364</v>
      </c>
      <c r="E203" s="40"/>
    </row>
    <row r="204" spans="2:16">
      <c r="C204" s="282" t="str">
        <f>IF('Mes Aides'!AB615&gt;=0.5,"þ","ý")</f>
        <v>ý</v>
      </c>
      <c r="D204" s="283" t="s">
        <v>534</v>
      </c>
      <c r="E204" s="40"/>
    </row>
    <row r="205" spans="2:16">
      <c r="C205" s="282" t="str">
        <f>IF((Y35+AB35)/2&lt;0,"þ","ý")</f>
        <v>ý</v>
      </c>
      <c r="D205" s="283" t="s">
        <v>539</v>
      </c>
      <c r="E205" s="40"/>
    </row>
    <row r="207" spans="2:16" ht="15" customHeight="1">
      <c r="C207" s="576" t="str">
        <f>IF(AND(C201=AJ23,C202=AJ23,C203=AJ23,C204=AJ23,C205=AJ23),"L'entreprise remplie l'ensemble des conditions pour obtenir l'aide exceptionnelle pour la prise en charge des coûts fixes.",IF(AND(C201=AJ23,C205=AJ23,C202=AJ23,C204=AJ23,AND(Annexes!V6&gt;=Annexes!X6,Annexes!V6&lt;=Annexes!X7)),"L'entreprise ne remplie pas les conditions de CA mais fait partie des entreprises des secteurs sans critères pour obtenir l'aide exceptionnelle pour la prise en charge des coûts fixes.",IF(AND(OR(C201=AJ24,C205=AJ24,C202=AJ24,C204=AJ24),AND(Annexes!V6&gt;=Annexes!X6,Annexes!V6&lt;=Annexes!X7)),"L'entreprise fait partie des secteurs sans critère pour obtenir l'aide, mais elle ne remplie pas les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207" s="576"/>
      <c r="E207" s="576"/>
      <c r="F207" s="576"/>
      <c r="G207" s="576"/>
      <c r="H207" s="576"/>
      <c r="I207" s="576"/>
      <c r="J207" s="576"/>
      <c r="K207" s="576"/>
      <c r="L207" s="576"/>
      <c r="M207" s="576"/>
      <c r="N207" s="576"/>
      <c r="O207" s="576"/>
      <c r="P207" s="576"/>
    </row>
    <row r="208" spans="2:16">
      <c r="C208" s="576"/>
      <c r="D208" s="576"/>
      <c r="E208" s="576"/>
      <c r="F208" s="576"/>
      <c r="G208" s="576"/>
      <c r="H208" s="576"/>
      <c r="I208" s="576"/>
      <c r="J208" s="576"/>
      <c r="K208" s="576"/>
      <c r="L208" s="576"/>
      <c r="M208" s="576"/>
      <c r="N208" s="576"/>
      <c r="O208" s="576"/>
      <c r="P208" s="576"/>
    </row>
    <row r="210" spans="2:16">
      <c r="C210" s="284" t="s">
        <v>371</v>
      </c>
      <c r="D210" s="285"/>
    </row>
    <row r="211" spans="2:16" ht="15.75" thickBot="1"/>
    <row r="212" spans="2:16" ht="15" customHeight="1">
      <c r="C212" s="577" t="str">
        <f>IFERROR(IF(AM35=0,"Vous ne pouvez pas bénéficier de l'aide, les conditions ne sont pas respectées",IF(AM35=1,IF(AND(G16&gt;=50,K16&gt;=10000000),"L'entreprise à plus de 50 salariés et un bilan total supérieur à 10 M€, le dispositif couvre 70 % des pertes d'exploitation","L'entreprise à moins de 50 salariés ou un bilan de moins de 10 M€, le dispositif couvre 90 % des pertes d'exploitation")))&amp;IF(AM35=0,". ",IF(AL35&gt;=10000000,", cependant le plafond de 10 M€ est déjà atteint pour l'année 2021. ",". ")&amp;IF(AM35=0,"","Dans votre cas, l'aide est de "&amp;ROUND(AK35,0)&amp;" €.")),"")</f>
        <v xml:space="preserve">Vous ne pouvez pas bénéficier de l'aide, les conditions ne sont pas respectées. </v>
      </c>
      <c r="D212" s="578"/>
      <c r="E212" s="578"/>
      <c r="F212" s="578"/>
      <c r="G212" s="578"/>
      <c r="H212" s="578"/>
      <c r="I212" s="578"/>
      <c r="J212" s="578"/>
      <c r="K212" s="578"/>
      <c r="L212" s="578"/>
      <c r="M212" s="578"/>
      <c r="N212" s="578"/>
      <c r="O212" s="578"/>
      <c r="P212" s="579"/>
    </row>
    <row r="213" spans="2:16" ht="15" customHeight="1">
      <c r="C213" s="580"/>
      <c r="D213" s="581"/>
      <c r="E213" s="581"/>
      <c r="F213" s="581"/>
      <c r="G213" s="581"/>
      <c r="H213" s="581"/>
      <c r="I213" s="581"/>
      <c r="J213" s="581"/>
      <c r="K213" s="581"/>
      <c r="L213" s="581"/>
      <c r="M213" s="581"/>
      <c r="N213" s="581"/>
      <c r="O213" s="581"/>
      <c r="P213" s="582"/>
    </row>
    <row r="214" spans="2:16" ht="15.75" customHeight="1" thickBot="1">
      <c r="C214" s="583"/>
      <c r="D214" s="584"/>
      <c r="E214" s="584"/>
      <c r="F214" s="584"/>
      <c r="G214" s="584"/>
      <c r="H214" s="584"/>
      <c r="I214" s="584"/>
      <c r="J214" s="584"/>
      <c r="K214" s="584"/>
      <c r="L214" s="584"/>
      <c r="M214" s="584"/>
      <c r="N214" s="584"/>
      <c r="O214" s="584"/>
      <c r="P214" s="585"/>
    </row>
    <row r="215" spans="2:16" ht="15.75">
      <c r="C215" s="395"/>
      <c r="D215" s="395"/>
      <c r="E215" s="395"/>
      <c r="F215" s="395"/>
      <c r="G215" s="395"/>
      <c r="H215" s="395"/>
      <c r="I215" s="395"/>
      <c r="J215" s="395"/>
      <c r="K215" s="395"/>
      <c r="L215" s="395"/>
      <c r="M215" s="395"/>
      <c r="N215" s="395"/>
      <c r="O215" s="395"/>
      <c r="P215" s="395"/>
    </row>
    <row r="216" spans="2:16">
      <c r="C216" s="315"/>
    </row>
    <row r="217" spans="2:16" ht="16.5" thickBot="1">
      <c r="B217" s="220"/>
      <c r="C217" s="488" t="s">
        <v>520</v>
      </c>
      <c r="D217" s="488"/>
      <c r="E217" s="488"/>
      <c r="F217" s="488"/>
      <c r="G217" s="488"/>
      <c r="H217" s="488"/>
      <c r="I217" s="488"/>
      <c r="J217" s="221"/>
      <c r="K217" s="221"/>
      <c r="L217" s="221"/>
      <c r="M217" s="221"/>
      <c r="N217" s="221"/>
      <c r="O217" s="221"/>
      <c r="P217" s="221"/>
    </row>
    <row r="218" spans="2:16">
      <c r="B218" s="314"/>
      <c r="I218" s="1"/>
    </row>
    <row r="219" spans="2:16" ht="15.75">
      <c r="B219" s="103"/>
      <c r="C219" s="60"/>
      <c r="D219" s="393"/>
      <c r="E219" s="393"/>
      <c r="F219" s="393"/>
      <c r="G219" s="393"/>
      <c r="H219" s="393"/>
      <c r="I219" s="393"/>
      <c r="J219" s="393"/>
      <c r="K219" s="393"/>
      <c r="L219" s="393"/>
      <c r="M219" s="393"/>
      <c r="N219" s="393"/>
      <c r="O219" s="393"/>
    </row>
    <row r="220" spans="2:16" ht="15.75" customHeight="1">
      <c r="B220" s="103"/>
      <c r="C220" s="575" t="str">
        <f>IFERROR(IF(AND(1-('Mon Entreprise'!M138)/('Mon Entreprise'!I138)&gt;=0.5,OR('Mes Aides'!AB689="OUI",'Mes Aides'!AB690="OUI",'Mes Aides'!AB691="OUI",Annexes!M45=TRUE)),"L'entreprises fait l’objet d’une interdiction d’accueil du public ou appartenant aux secteurs mentionnés en annexe 1 ou 2 (S1 et S1 bis)","L'entreprises ne fait pas l’objet d’une interdiction d’accueil du public ou appartenant aux secteurs mentionnés en annexe 1 et annexe 2 (S1 et S1 bis)"),"L'onglet 'Mon entreprise' n'a pas été entièrement complété.")</f>
        <v>L'onglet 'Mon entreprise' n'a pas été entièrement complété.</v>
      </c>
      <c r="D220" s="575"/>
      <c r="E220" s="575"/>
      <c r="F220" s="575"/>
      <c r="G220" s="575"/>
      <c r="H220" s="575"/>
      <c r="I220" s="575"/>
      <c r="J220" s="575"/>
      <c r="K220" s="575"/>
      <c r="L220" s="575"/>
      <c r="M220" s="575"/>
      <c r="N220" s="575"/>
      <c r="O220" s="575"/>
      <c r="P220" s="575"/>
    </row>
    <row r="221" spans="2:16" ht="15" customHeight="1">
      <c r="C221" s="575"/>
      <c r="D221" s="575"/>
      <c r="E221" s="575"/>
      <c r="F221" s="575"/>
      <c r="G221" s="575"/>
      <c r="H221" s="575"/>
      <c r="I221" s="575"/>
      <c r="J221" s="575"/>
      <c r="K221" s="575"/>
      <c r="L221" s="575"/>
      <c r="M221" s="575"/>
      <c r="N221" s="575"/>
      <c r="O221" s="575"/>
      <c r="P221" s="575"/>
    </row>
    <row r="222" spans="2:16" ht="15" customHeight="1">
      <c r="C222" s="575"/>
      <c r="D222" s="575"/>
      <c r="E222" s="575"/>
      <c r="F222" s="575"/>
      <c r="G222" s="575"/>
      <c r="H222" s="575"/>
      <c r="I222" s="575"/>
      <c r="J222" s="575"/>
      <c r="K222" s="575"/>
      <c r="L222" s="575"/>
      <c r="M222" s="575"/>
      <c r="N222" s="575"/>
      <c r="O222" s="575"/>
      <c r="P222" s="575"/>
    </row>
    <row r="223" spans="2:16">
      <c r="C223" s="282" t="str">
        <f>IF('Mon Entreprise'!K8&lt;=Annexes!O23,"þ","ý")</f>
        <v>þ</v>
      </c>
      <c r="D223" s="283" t="s">
        <v>541</v>
      </c>
      <c r="E223" s="40"/>
    </row>
    <row r="224" spans="2:16">
      <c r="C224" s="282" t="str">
        <f>IF(OR('Mes Aides'!AB707&gt;=1,'Mes Aides'!AB708&gt;=1,'Mes Aides'!AB709&gt;=1),"þ","ý")</f>
        <v>ý</v>
      </c>
      <c r="D224" s="283" t="s">
        <v>544</v>
      </c>
      <c r="E224" s="40"/>
    </row>
    <row r="225" spans="3:16">
      <c r="C225" s="282" t="str">
        <f>IF(OR('Mon Entreprise'!I96&gt;=12000000,'Mon Entreprise'!I138&gt;=1000000,Q16&gt;=12000000),"þ","ý")</f>
        <v>ý</v>
      </c>
      <c r="D225" s="283" t="s">
        <v>364</v>
      </c>
      <c r="E225" s="40"/>
    </row>
    <row r="226" spans="3:16">
      <c r="C226" s="282" t="str">
        <f>IF('Mes Aides'!AB677&gt;=0.5,"þ","ý")</f>
        <v>ý</v>
      </c>
      <c r="D226" s="283" t="s">
        <v>535</v>
      </c>
      <c r="E226" s="40"/>
    </row>
    <row r="227" spans="3:16">
      <c r="C227" s="282" t="str">
        <f>IF((AE35)/2&lt;0,"þ","ý")</f>
        <v>ý</v>
      </c>
      <c r="D227" s="283" t="s">
        <v>540</v>
      </c>
      <c r="E227" s="40"/>
    </row>
    <row r="229" spans="3:16" ht="15" customHeight="1">
      <c r="C229" s="576" t="str">
        <f>IF(AND(C223=AJ23,C224=AJ23,C225=AJ23,C226=AJ23,C227=AJ23),"L'entreprise remplie l'ensemble des conditions pour obtenir l'aide exceptionnelle pour la prise en charge des coûts fixes.",IF(AND(C223=AJ23,C227=AJ23,C224=AJ23,C226=AJ23,AND(Annexes!V6&gt;=Annexes!X6,Annexes!V6&lt;=Annexes!X7)),"L'entreprise ne remplie pas les conditions de CA mais fait partie des entreprises des secteurs sans critères pour obtenir l'aide exceptionnelle pour la prise en charge des coûts fixes.",IF(AND(OR(C223=AJ24,C227=AJ24,C224=AJ24,C226=AJ24),AND(Annexes!V6&gt;=Annexes!X6,Annexes!V6&lt;=Annexes!X7)),"L'entreprise fait partie des secteurs sans critère pour obtenir l'aide, mais elle ne remplie pas les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229" s="576"/>
      <c r="E229" s="576"/>
      <c r="F229" s="576"/>
      <c r="G229" s="576"/>
      <c r="H229" s="576"/>
      <c r="I229" s="576"/>
      <c r="J229" s="576"/>
      <c r="K229" s="576"/>
      <c r="L229" s="576"/>
      <c r="M229" s="576"/>
      <c r="N229" s="576"/>
      <c r="O229" s="576"/>
      <c r="P229" s="576"/>
    </row>
    <row r="230" spans="3:16">
      <c r="C230" s="576"/>
      <c r="D230" s="576"/>
      <c r="E230" s="576"/>
      <c r="F230" s="576"/>
      <c r="G230" s="576"/>
      <c r="H230" s="576"/>
      <c r="I230" s="576"/>
      <c r="J230" s="576"/>
      <c r="K230" s="576"/>
      <c r="L230" s="576"/>
      <c r="M230" s="576"/>
      <c r="N230" s="576"/>
      <c r="O230" s="576"/>
      <c r="P230" s="576"/>
    </row>
    <row r="232" spans="3:16">
      <c r="C232" s="284" t="s">
        <v>371</v>
      </c>
      <c r="D232" s="285"/>
    </row>
    <row r="233" spans="3:16" ht="15.75" thickBot="1"/>
    <row r="234" spans="3:16" ht="15" customHeight="1">
      <c r="C234" s="577" t="str">
        <f>IFERROR(IF(AM36=0,"Vous ne pouvez pas bénéficier de l'aide, les conditions ne sont pas respectées",IF(AM36=1,IF(AND(G16&gt;=50,K16&gt;=10000000),"L'entreprise à plus de 50 salariés et un bilan total supérieur à 10 M€, le dispositif couvre 70 % des pertes d'exploitation","L'entreprise à moins de 50 salariés ou un bilan de moins de 10 M€, le dispositif couvre 90 % des pertes d'exploitation")))&amp;IF(AM36=0,". ",IF(AL36&gt;=10000000,", cependant le plafond de 10 M€ est déjà atteint pour l'année 2021. ",". ")&amp;IF(AM36=0,"","Dans votre cas, l'aide est de "&amp;ROUND(AK36,0)&amp;" €.")),"")</f>
        <v xml:space="preserve">Vous ne pouvez pas bénéficier de l'aide, les conditions ne sont pas respectées. </v>
      </c>
      <c r="D234" s="578"/>
      <c r="E234" s="578"/>
      <c r="F234" s="578"/>
      <c r="G234" s="578"/>
      <c r="H234" s="578"/>
      <c r="I234" s="578"/>
      <c r="J234" s="578"/>
      <c r="K234" s="578"/>
      <c r="L234" s="578"/>
      <c r="M234" s="578"/>
      <c r="N234" s="578"/>
      <c r="O234" s="578"/>
      <c r="P234" s="579"/>
    </row>
    <row r="235" spans="3:16" ht="15" customHeight="1">
      <c r="C235" s="580"/>
      <c r="D235" s="581"/>
      <c r="E235" s="581"/>
      <c r="F235" s="581"/>
      <c r="G235" s="581"/>
      <c r="H235" s="581"/>
      <c r="I235" s="581"/>
      <c r="J235" s="581"/>
      <c r="K235" s="581"/>
      <c r="L235" s="581"/>
      <c r="M235" s="581"/>
      <c r="N235" s="581"/>
      <c r="O235" s="581"/>
      <c r="P235" s="582"/>
    </row>
    <row r="236" spans="3:16" ht="15.75" customHeight="1" thickBot="1">
      <c r="C236" s="583"/>
      <c r="D236" s="584"/>
      <c r="E236" s="584"/>
      <c r="F236" s="584"/>
      <c r="G236" s="584"/>
      <c r="H236" s="584"/>
      <c r="I236" s="584"/>
      <c r="J236" s="584"/>
      <c r="K236" s="584"/>
      <c r="L236" s="584"/>
      <c r="M236" s="584"/>
      <c r="N236" s="584"/>
      <c r="O236" s="584"/>
      <c r="P236" s="585"/>
    </row>
    <row r="237" spans="3:16" ht="15.75">
      <c r="C237" s="395"/>
      <c r="D237" s="395"/>
      <c r="E237" s="395"/>
      <c r="F237" s="395"/>
      <c r="G237" s="395"/>
      <c r="H237" s="395"/>
      <c r="I237" s="395"/>
      <c r="J237" s="395"/>
      <c r="K237" s="395"/>
      <c r="L237" s="395"/>
      <c r="M237" s="395"/>
      <c r="N237" s="395"/>
      <c r="O237" s="395"/>
      <c r="P237" s="395"/>
    </row>
    <row r="238" spans="3:16">
      <c r="C238" s="315"/>
    </row>
    <row r="239" spans="3:16" ht="15.75">
      <c r="C239" s="395"/>
      <c r="D239" s="395"/>
      <c r="E239" s="395"/>
      <c r="F239" s="395"/>
      <c r="G239" s="395"/>
      <c r="H239" s="395"/>
      <c r="I239" s="395"/>
      <c r="J239" s="395"/>
      <c r="K239" s="395"/>
      <c r="L239" s="395"/>
      <c r="M239" s="395"/>
      <c r="N239" s="395"/>
      <c r="O239" s="395"/>
      <c r="P239" s="395"/>
    </row>
    <row r="240" spans="3:16">
      <c r="C240" s="315"/>
    </row>
    <row r="242" spans="3:3">
      <c r="C242" s="60" t="s">
        <v>69</v>
      </c>
    </row>
  </sheetData>
  <sheetProtection password="C6BD" sheet="1" objects="1" scenarios="1"/>
  <mergeCells count="131">
    <mergeCell ref="C195:I195"/>
    <mergeCell ref="C198:P200"/>
    <mergeCell ref="C207:P208"/>
    <mergeCell ref="C212:P214"/>
    <mergeCell ref="C217:I217"/>
    <mergeCell ref="C220:P222"/>
    <mergeCell ref="C229:P230"/>
    <mergeCell ref="C234:P236"/>
    <mergeCell ref="C185:P186"/>
    <mergeCell ref="C190:P192"/>
    <mergeCell ref="AE35:AF36"/>
    <mergeCell ref="C173:I173"/>
    <mergeCell ref="C176:P178"/>
    <mergeCell ref="AE28:AF28"/>
    <mergeCell ref="AE30:AF30"/>
    <mergeCell ref="AE22:AF22"/>
    <mergeCell ref="AE24:AF24"/>
    <mergeCell ref="Y32:Z32"/>
    <mergeCell ref="AB32:AC32"/>
    <mergeCell ref="Y35:Z36"/>
    <mergeCell ref="AB35:AC36"/>
    <mergeCell ref="V35:W36"/>
    <mergeCell ref="S35:T36"/>
    <mergeCell ref="S30:T30"/>
    <mergeCell ref="S28:T28"/>
    <mergeCell ref="V22:W22"/>
    <mergeCell ref="V24:W24"/>
    <mergeCell ref="C119:P120"/>
    <mergeCell ref="C124:P126"/>
    <mergeCell ref="E35:F36"/>
    <mergeCell ref="J32:K32"/>
    <mergeCell ref="J30:K30"/>
    <mergeCell ref="M30:N30"/>
    <mergeCell ref="C63:I63"/>
    <mergeCell ref="AE20:AF20"/>
    <mergeCell ref="AE26:AF26"/>
    <mergeCell ref="AE32:AF32"/>
    <mergeCell ref="Y26:Z26"/>
    <mergeCell ref="AB26:AC26"/>
    <mergeCell ref="Y28:Z28"/>
    <mergeCell ref="AB28:AC28"/>
    <mergeCell ref="Y30:Z30"/>
    <mergeCell ref="AB30:AC30"/>
    <mergeCell ref="Y20:Z20"/>
    <mergeCell ref="AB20:AC20"/>
    <mergeCell ref="Y22:Z22"/>
    <mergeCell ref="AB22:AC22"/>
    <mergeCell ref="Y24:Z24"/>
    <mergeCell ref="AB24:AC24"/>
    <mergeCell ref="C58:P60"/>
    <mergeCell ref="J35:K36"/>
    <mergeCell ref="C102:P104"/>
    <mergeCell ref="C110:P112"/>
    <mergeCell ref="G30:H30"/>
    <mergeCell ref="G35:H36"/>
    <mergeCell ref="C132:P134"/>
    <mergeCell ref="Q16:R16"/>
    <mergeCell ref="N16:P16"/>
    <mergeCell ref="C18:G18"/>
    <mergeCell ref="C107:I107"/>
    <mergeCell ref="C129:I129"/>
    <mergeCell ref="C44:P46"/>
    <mergeCell ref="C41:I41"/>
    <mergeCell ref="C35:D36"/>
    <mergeCell ref="C22:D22"/>
    <mergeCell ref="G32:H32"/>
    <mergeCell ref="M35:N36"/>
    <mergeCell ref="C53:P54"/>
    <mergeCell ref="I16:J16"/>
    <mergeCell ref="J22:K22"/>
    <mergeCell ref="G22:H22"/>
    <mergeCell ref="P35:Q36"/>
    <mergeCell ref="V26:W26"/>
    <mergeCell ref="G20:H20"/>
    <mergeCell ref="S32:T32"/>
    <mergeCell ref="G28:H28"/>
    <mergeCell ref="J28:K28"/>
    <mergeCell ref="V20:W20"/>
    <mergeCell ref="P30:Q30"/>
    <mergeCell ref="P28:Q28"/>
    <mergeCell ref="V32:W32"/>
    <mergeCell ref="V30:W30"/>
    <mergeCell ref="V28:W28"/>
    <mergeCell ref="C16:F16"/>
    <mergeCell ref="P32:Q32"/>
    <mergeCell ref="P26:Q26"/>
    <mergeCell ref="M32:N32"/>
    <mergeCell ref="M28:N28"/>
    <mergeCell ref="M26:N26"/>
    <mergeCell ref="M24:N24"/>
    <mergeCell ref="M22:N22"/>
    <mergeCell ref="C32:D33"/>
    <mergeCell ref="C30:D31"/>
    <mergeCell ref="C28:D29"/>
    <mergeCell ref="K16:L16"/>
    <mergeCell ref="I8:K8"/>
    <mergeCell ref="L8:M8"/>
    <mergeCell ref="N8:Q8"/>
    <mergeCell ref="I2:K4"/>
    <mergeCell ref="L2:Q4"/>
    <mergeCell ref="I6:K6"/>
    <mergeCell ref="L6:Q6"/>
    <mergeCell ref="S26:T26"/>
    <mergeCell ref="C26:D27"/>
    <mergeCell ref="C24:D25"/>
    <mergeCell ref="G26:H26"/>
    <mergeCell ref="J26:K26"/>
    <mergeCell ref="G24:H24"/>
    <mergeCell ref="J24:K24"/>
    <mergeCell ref="S20:T20"/>
    <mergeCell ref="P20:Q20"/>
    <mergeCell ref="M20:N20"/>
    <mergeCell ref="J20:K20"/>
    <mergeCell ref="S24:T24"/>
    <mergeCell ref="S22:T22"/>
    <mergeCell ref="P24:Q24"/>
    <mergeCell ref="P22:Q22"/>
    <mergeCell ref="C11:W11"/>
    <mergeCell ref="C13:W14"/>
    <mergeCell ref="C66:P68"/>
    <mergeCell ref="C75:P76"/>
    <mergeCell ref="C80:P82"/>
    <mergeCell ref="C85:I85"/>
    <mergeCell ref="C88:P90"/>
    <mergeCell ref="C97:P98"/>
    <mergeCell ref="C154:P156"/>
    <mergeCell ref="C163:P164"/>
    <mergeCell ref="C168:P170"/>
    <mergeCell ref="C141:P142"/>
    <mergeCell ref="C146:P148"/>
    <mergeCell ref="C151:I151"/>
  </mergeCells>
  <conditionalFormatting sqref="AJ23">
    <cfRule type="expression" dxfId="69" priority="54">
      <formula>"$C$40=$R$39"</formula>
    </cfRule>
  </conditionalFormatting>
  <conditionalFormatting sqref="C48">
    <cfRule type="expression" dxfId="68" priority="52" stopIfTrue="1">
      <formula>"$R$38"</formula>
    </cfRule>
    <cfRule type="expression" dxfId="67" priority="53" stopIfTrue="1">
      <formula>"$R$38"</formula>
    </cfRule>
  </conditionalFormatting>
  <conditionalFormatting sqref="C70">
    <cfRule type="expression" dxfId="66" priority="47" stopIfTrue="1">
      <formula>"$R$38"</formula>
    </cfRule>
    <cfRule type="expression" dxfId="65" priority="48" stopIfTrue="1">
      <formula>"$R$38"</formula>
    </cfRule>
  </conditionalFormatting>
  <conditionalFormatting sqref="C47:C51 C69:C73">
    <cfRule type="cellIs" dxfId="64" priority="55" operator="equal">
      <formula>$AJ$23</formula>
    </cfRule>
    <cfRule type="cellIs" dxfId="63" priority="56" operator="equal">
      <formula>$AJ$24</formula>
    </cfRule>
  </conditionalFormatting>
  <conditionalFormatting sqref="C92">
    <cfRule type="expression" dxfId="62" priority="41" stopIfTrue="1">
      <formula>"$R$38"</formula>
    </cfRule>
    <cfRule type="expression" dxfId="61" priority="42" stopIfTrue="1">
      <formula>"$R$38"</formula>
    </cfRule>
  </conditionalFormatting>
  <conditionalFormatting sqref="C91:C95">
    <cfRule type="cellIs" dxfId="60" priority="43" operator="equal">
      <formula>$AJ$23</formula>
    </cfRule>
    <cfRule type="cellIs" dxfId="59" priority="44" operator="equal">
      <formula>$AJ$24</formula>
    </cfRule>
  </conditionalFormatting>
  <conditionalFormatting sqref="C114">
    <cfRule type="expression" dxfId="58" priority="37" stopIfTrue="1">
      <formula>"$R$38"</formula>
    </cfRule>
    <cfRule type="expression" dxfId="57" priority="38" stopIfTrue="1">
      <formula>"$R$38"</formula>
    </cfRule>
  </conditionalFormatting>
  <conditionalFormatting sqref="C113:C117">
    <cfRule type="cellIs" dxfId="56" priority="39" operator="equal">
      <formula>$AJ$23</formula>
    </cfRule>
    <cfRule type="cellIs" dxfId="55" priority="40" operator="equal">
      <formula>$AJ$24</formula>
    </cfRule>
  </conditionalFormatting>
  <conditionalFormatting sqref="C136">
    <cfRule type="expression" dxfId="54" priority="33" stopIfTrue="1">
      <formula>"$R$38"</formula>
    </cfRule>
    <cfRule type="expression" dxfId="53" priority="34" stopIfTrue="1">
      <formula>"$R$38"</formula>
    </cfRule>
  </conditionalFormatting>
  <conditionalFormatting sqref="C135:C139">
    <cfRule type="cellIs" dxfId="52" priority="35" operator="equal">
      <formula>$AJ$23</formula>
    </cfRule>
    <cfRule type="cellIs" dxfId="51" priority="36" operator="equal">
      <formula>$AJ$24</formula>
    </cfRule>
  </conditionalFormatting>
  <conditionalFormatting sqref="C158">
    <cfRule type="expression" dxfId="50" priority="29" stopIfTrue="1">
      <formula>"$R$38"</formula>
    </cfRule>
    <cfRule type="expression" dxfId="49" priority="30" stopIfTrue="1">
      <formula>"$R$38"</formula>
    </cfRule>
  </conditionalFormatting>
  <conditionalFormatting sqref="C157:C161">
    <cfRule type="cellIs" dxfId="48" priority="31" operator="equal">
      <formula>$AJ$23</formula>
    </cfRule>
    <cfRule type="cellIs" dxfId="47" priority="32" operator="equal">
      <formula>$AJ$24</formula>
    </cfRule>
  </conditionalFormatting>
  <conditionalFormatting sqref="C202">
    <cfRule type="expression" dxfId="46" priority="9" stopIfTrue="1">
      <formula>"$R$38"</formula>
    </cfRule>
    <cfRule type="expression" dxfId="45" priority="10" stopIfTrue="1">
      <formula>"$R$38"</formula>
    </cfRule>
  </conditionalFormatting>
  <conditionalFormatting sqref="C180">
    <cfRule type="expression" dxfId="44" priority="25" stopIfTrue="1">
      <formula>"$R$38"</formula>
    </cfRule>
    <cfRule type="expression" dxfId="43" priority="26" stopIfTrue="1">
      <formula>"$R$38"</formula>
    </cfRule>
  </conditionalFormatting>
  <conditionalFormatting sqref="C179:C183">
    <cfRule type="cellIs" dxfId="42" priority="27" operator="equal">
      <formula>$AJ$23</formula>
    </cfRule>
    <cfRule type="cellIs" dxfId="41" priority="28" operator="equal">
      <formula>$AJ$24</formula>
    </cfRule>
  </conditionalFormatting>
  <conditionalFormatting sqref="C201:C205">
    <cfRule type="cellIs" dxfId="40" priority="11" operator="equal">
      <formula>$AJ$23</formula>
    </cfRule>
    <cfRule type="cellIs" dxfId="39" priority="12" operator="equal">
      <formula>$AJ$24</formula>
    </cfRule>
  </conditionalFormatting>
  <conditionalFormatting sqref="C224">
    <cfRule type="expression" dxfId="38" priority="5" stopIfTrue="1">
      <formula>"$R$38"</formula>
    </cfRule>
    <cfRule type="expression" dxfId="37" priority="6" stopIfTrue="1">
      <formula>"$R$38"</formula>
    </cfRule>
  </conditionalFormatting>
  <conditionalFormatting sqref="C223:C227">
    <cfRule type="cellIs" dxfId="36" priority="7" operator="equal">
      <formula>$AJ$23</formula>
    </cfRule>
    <cfRule type="cellIs" dxfId="35" priority="8" operator="equal">
      <formula>$AJ$24</formula>
    </cfRule>
  </conditionalFormatting>
  <pageMargins left="0.7" right="0.7" top="0.75" bottom="0.75" header="0.3" footer="0.3"/>
  <pageSetup paperSize="9" scale="47" fitToWidth="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4" r:id="rId4" name="Drop Down 20">
              <controlPr defaultSize="0" autoLine="0" autoPict="0">
                <anchor moveWithCells="1">
                  <from>
                    <xdr:col>7</xdr:col>
                    <xdr:colOff>0</xdr:colOff>
                    <xdr:row>17</xdr:row>
                    <xdr:rowOff>0</xdr:rowOff>
                  </from>
                  <to>
                    <xdr:col>18</xdr:col>
                    <xdr:colOff>9525</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Z141"/>
  <sheetViews>
    <sheetView workbookViewId="0">
      <selection activeCell="O23" sqref="O23"/>
    </sheetView>
  </sheetViews>
  <sheetFormatPr baseColWidth="10" defaultRowHeight="15" customHeight="1"/>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 min="20" max="20" width="42.7109375" customWidth="1"/>
    <col min="23" max="23" width="3.28515625" bestFit="1" customWidth="1"/>
    <col min="24" max="24" width="4.85546875" customWidth="1"/>
  </cols>
  <sheetData>
    <row r="2" spans="2:24" ht="15" customHeight="1">
      <c r="I2" t="s">
        <v>13</v>
      </c>
    </row>
    <row r="3" spans="2:24" ht="15" customHeight="1">
      <c r="B3" t="s">
        <v>0</v>
      </c>
      <c r="D3" s="5" t="s">
        <v>1</v>
      </c>
      <c r="I3" t="s">
        <v>10</v>
      </c>
      <c r="J3" t="s">
        <v>11</v>
      </c>
    </row>
    <row r="4" spans="2:24" ht="15" customHeight="1">
      <c r="B4" s="224" t="s">
        <v>39</v>
      </c>
      <c r="C4" s="224" t="s">
        <v>7</v>
      </c>
      <c r="D4" s="225" t="s">
        <v>40</v>
      </c>
      <c r="E4" t="s">
        <v>7</v>
      </c>
      <c r="I4">
        <v>0</v>
      </c>
      <c r="J4">
        <v>0</v>
      </c>
      <c r="L4" t="s">
        <v>2</v>
      </c>
      <c r="M4">
        <v>1</v>
      </c>
      <c r="O4" s="606" t="s">
        <v>103</v>
      </c>
      <c r="P4" s="606"/>
      <c r="T4" t="s">
        <v>358</v>
      </c>
    </row>
    <row r="5" spans="2:24" ht="15" customHeight="1">
      <c r="B5" s="32" t="s">
        <v>126</v>
      </c>
      <c r="C5" s="224" t="s">
        <v>7</v>
      </c>
      <c r="D5" s="226" t="s">
        <v>238</v>
      </c>
      <c r="E5" s="196" t="s">
        <v>0</v>
      </c>
      <c r="F5">
        <v>1</v>
      </c>
      <c r="G5" t="s">
        <v>105</v>
      </c>
      <c r="H5" s="195">
        <v>2</v>
      </c>
      <c r="I5">
        <v>1</v>
      </c>
      <c r="J5">
        <v>1</v>
      </c>
      <c r="O5">
        <v>1500</v>
      </c>
      <c r="P5">
        <v>0.8</v>
      </c>
      <c r="T5" t="s">
        <v>366</v>
      </c>
    </row>
    <row r="6" spans="2:24" ht="15" customHeight="1">
      <c r="B6" s="32" t="s">
        <v>127</v>
      </c>
      <c r="C6" s="224" t="s">
        <v>7</v>
      </c>
      <c r="D6" s="226" t="s">
        <v>240</v>
      </c>
      <c r="E6" s="196" t="s">
        <v>7</v>
      </c>
      <c r="G6" t="s">
        <v>106</v>
      </c>
      <c r="H6" s="195">
        <v>78</v>
      </c>
      <c r="I6">
        <v>2</v>
      </c>
      <c r="J6">
        <v>2</v>
      </c>
      <c r="L6" t="s">
        <v>3</v>
      </c>
      <c r="M6">
        <v>1</v>
      </c>
      <c r="O6">
        <v>10000</v>
      </c>
      <c r="P6">
        <v>0.6</v>
      </c>
      <c r="T6" s="279" t="s">
        <v>422</v>
      </c>
      <c r="V6">
        <v>1</v>
      </c>
      <c r="W6" t="s">
        <v>105</v>
      </c>
      <c r="X6">
        <v>2</v>
      </c>
    </row>
    <row r="7" spans="2:24" ht="15" customHeight="1">
      <c r="B7" s="32" t="s">
        <v>128</v>
      </c>
      <c r="C7" s="224" t="s">
        <v>7</v>
      </c>
      <c r="D7" s="227" t="s">
        <v>196</v>
      </c>
      <c r="E7" s="196" t="s">
        <v>1</v>
      </c>
      <c r="F7">
        <v>1</v>
      </c>
      <c r="G7" t="s">
        <v>105</v>
      </c>
      <c r="H7" s="195">
        <v>2</v>
      </c>
      <c r="I7">
        <v>3</v>
      </c>
      <c r="J7">
        <v>3</v>
      </c>
      <c r="O7">
        <v>333</v>
      </c>
      <c r="T7" s="279" t="s">
        <v>423</v>
      </c>
      <c r="W7" t="s">
        <v>106</v>
      </c>
      <c r="X7">
        <v>9</v>
      </c>
    </row>
    <row r="8" spans="2:24" ht="15" customHeight="1">
      <c r="B8" s="32" t="s">
        <v>129</v>
      </c>
      <c r="C8" s="224" t="s">
        <v>7</v>
      </c>
      <c r="D8" s="227" t="s">
        <v>197</v>
      </c>
      <c r="E8" t="s">
        <v>7</v>
      </c>
      <c r="G8" t="s">
        <v>106</v>
      </c>
      <c r="H8" s="195">
        <v>134</v>
      </c>
      <c r="I8">
        <v>4</v>
      </c>
      <c r="J8">
        <v>4</v>
      </c>
      <c r="O8">
        <v>200000</v>
      </c>
      <c r="T8" s="279" t="s">
        <v>424</v>
      </c>
    </row>
    <row r="9" spans="2:24" ht="15" customHeight="1">
      <c r="B9" s="32" t="s">
        <v>130</v>
      </c>
      <c r="C9" s="224" t="s">
        <v>7</v>
      </c>
      <c r="D9" s="227" t="s">
        <v>198</v>
      </c>
      <c r="E9" t="s">
        <v>7</v>
      </c>
      <c r="I9">
        <v>5</v>
      </c>
      <c r="J9">
        <v>5</v>
      </c>
      <c r="L9" t="s">
        <v>11</v>
      </c>
      <c r="M9" t="b">
        <v>0</v>
      </c>
      <c r="T9" s="279" t="s">
        <v>425</v>
      </c>
    </row>
    <row r="10" spans="2:24" ht="15" customHeight="1">
      <c r="B10" s="32" t="s">
        <v>131</v>
      </c>
      <c r="C10" s="224" t="s">
        <v>7</v>
      </c>
      <c r="D10" s="227" t="s">
        <v>199</v>
      </c>
      <c r="E10" t="s">
        <v>7</v>
      </c>
      <c r="I10">
        <v>6</v>
      </c>
      <c r="J10">
        <v>6</v>
      </c>
      <c r="T10" s="279" t="s">
        <v>426</v>
      </c>
    </row>
    <row r="11" spans="2:24" ht="15" customHeight="1">
      <c r="B11" s="32" t="s">
        <v>132</v>
      </c>
      <c r="C11" s="224" t="s">
        <v>7</v>
      </c>
      <c r="D11" s="226" t="s">
        <v>241</v>
      </c>
      <c r="E11" t="s">
        <v>7</v>
      </c>
      <c r="J11">
        <v>7</v>
      </c>
      <c r="L11" t="s">
        <v>91</v>
      </c>
      <c r="M11" t="b">
        <v>0</v>
      </c>
      <c r="O11" s="2">
        <v>43900</v>
      </c>
      <c r="T11" s="279" t="s">
        <v>427</v>
      </c>
    </row>
    <row r="12" spans="2:24" ht="15" customHeight="1">
      <c r="B12" s="32" t="s">
        <v>133</v>
      </c>
      <c r="C12" s="224" t="s">
        <v>7</v>
      </c>
      <c r="D12" s="226" t="s">
        <v>239</v>
      </c>
      <c r="E12" t="s">
        <v>7</v>
      </c>
      <c r="J12">
        <v>8</v>
      </c>
      <c r="O12" s="2"/>
      <c r="T12" s="279" t="s">
        <v>428</v>
      </c>
    </row>
    <row r="13" spans="2:24" ht="15" customHeight="1">
      <c r="B13" s="32" t="s">
        <v>134</v>
      </c>
      <c r="C13" s="224" t="s">
        <v>7</v>
      </c>
      <c r="D13" s="226" t="s">
        <v>242</v>
      </c>
      <c r="E13" t="s">
        <v>7</v>
      </c>
      <c r="J13">
        <v>9</v>
      </c>
      <c r="L13" t="s">
        <v>92</v>
      </c>
      <c r="M13" t="b">
        <v>0</v>
      </c>
      <c r="O13" s="2" t="s">
        <v>5</v>
      </c>
      <c r="T13" s="279" t="s">
        <v>429</v>
      </c>
    </row>
    <row r="14" spans="2:24" ht="15" customHeight="1">
      <c r="B14" s="32" t="s">
        <v>135</v>
      </c>
      <c r="C14" s="224" t="s">
        <v>7</v>
      </c>
      <c r="D14" s="226" t="s">
        <v>243</v>
      </c>
      <c r="E14" t="s">
        <v>7</v>
      </c>
      <c r="J14">
        <v>10</v>
      </c>
      <c r="O14" s="2">
        <v>43466</v>
      </c>
      <c r="Q14" s="2">
        <v>43831</v>
      </c>
      <c r="R14" s="2"/>
    </row>
    <row r="15" spans="2:24" ht="15" customHeight="1">
      <c r="B15" s="33" t="s">
        <v>136</v>
      </c>
      <c r="C15" s="224" t="s">
        <v>7</v>
      </c>
      <c r="D15" s="226" t="s">
        <v>244</v>
      </c>
      <c r="E15" t="s">
        <v>7</v>
      </c>
      <c r="J15">
        <v>11</v>
      </c>
      <c r="L15" t="s">
        <v>93</v>
      </c>
      <c r="M15" t="b">
        <v>0</v>
      </c>
      <c r="Q15" s="2">
        <v>43861</v>
      </c>
      <c r="R15" s="2">
        <v>44227</v>
      </c>
      <c r="S15" s="2"/>
    </row>
    <row r="16" spans="2:24" ht="15" customHeight="1">
      <c r="B16" s="32" t="s">
        <v>137</v>
      </c>
      <c r="C16" s="224" t="s">
        <v>7</v>
      </c>
      <c r="D16" s="227" t="s">
        <v>200</v>
      </c>
      <c r="E16" t="s">
        <v>7</v>
      </c>
      <c r="J16">
        <v>12</v>
      </c>
      <c r="O16" s="2">
        <v>43525</v>
      </c>
      <c r="Q16" s="2">
        <v>43862</v>
      </c>
      <c r="R16" s="2"/>
    </row>
    <row r="17" spans="2:19" ht="15" customHeight="1">
      <c r="B17" s="32" t="s">
        <v>138</v>
      </c>
      <c r="C17" s="224" t="s">
        <v>7</v>
      </c>
      <c r="D17" s="227" t="s">
        <v>201</v>
      </c>
      <c r="E17" t="s">
        <v>7</v>
      </c>
      <c r="J17">
        <v>13</v>
      </c>
      <c r="L17" t="s">
        <v>111</v>
      </c>
      <c r="M17" t="b">
        <v>0</v>
      </c>
      <c r="O17" s="2">
        <v>43539</v>
      </c>
      <c r="Q17" s="2">
        <v>43890</v>
      </c>
      <c r="R17" s="2"/>
    </row>
    <row r="18" spans="2:19" ht="15" customHeight="1">
      <c r="B18" s="34" t="s">
        <v>185</v>
      </c>
      <c r="C18" s="224" t="s">
        <v>7</v>
      </c>
      <c r="D18" s="227" t="s">
        <v>202</v>
      </c>
      <c r="E18" t="s">
        <v>7</v>
      </c>
      <c r="J18">
        <v>14</v>
      </c>
      <c r="Q18" s="2">
        <v>43891</v>
      </c>
      <c r="R18" s="2"/>
    </row>
    <row r="19" spans="2:19" ht="15" customHeight="1">
      <c r="B19" s="32" t="s">
        <v>139</v>
      </c>
      <c r="C19" s="224" t="s">
        <v>7</v>
      </c>
      <c r="D19" s="227" t="s">
        <v>203</v>
      </c>
      <c r="E19" t="s">
        <v>7</v>
      </c>
      <c r="J19">
        <v>15</v>
      </c>
      <c r="L19" t="s">
        <v>301</v>
      </c>
      <c r="M19" t="b">
        <v>0</v>
      </c>
      <c r="O19" s="2">
        <v>43586</v>
      </c>
      <c r="Q19" s="2">
        <v>43900</v>
      </c>
      <c r="R19" s="2"/>
    </row>
    <row r="20" spans="2:19" ht="15" customHeight="1">
      <c r="B20" s="32" t="s">
        <v>140</v>
      </c>
      <c r="C20" s="224" t="s">
        <v>7</v>
      </c>
      <c r="D20" s="227" t="s">
        <v>204</v>
      </c>
      <c r="E20" t="s">
        <v>7</v>
      </c>
      <c r="J20">
        <v>16</v>
      </c>
      <c r="O20" s="2">
        <v>43617</v>
      </c>
      <c r="Q20" s="2">
        <v>43905</v>
      </c>
      <c r="R20" s="2"/>
    </row>
    <row r="21" spans="2:19" ht="15" customHeight="1">
      <c r="B21" s="32" t="s">
        <v>141</v>
      </c>
      <c r="C21" s="224" t="s">
        <v>7</v>
      </c>
      <c r="D21" s="227" t="s">
        <v>205</v>
      </c>
      <c r="E21" t="s">
        <v>7</v>
      </c>
      <c r="J21">
        <v>17</v>
      </c>
      <c r="L21" t="s">
        <v>307</v>
      </c>
      <c r="M21" t="b">
        <v>0</v>
      </c>
      <c r="O21" s="2">
        <v>43646</v>
      </c>
      <c r="Q21" s="2">
        <v>44012</v>
      </c>
      <c r="R21" s="2"/>
      <c r="S21" s="2"/>
    </row>
    <row r="22" spans="2:19" ht="15" customHeight="1">
      <c r="B22" s="32" t="s">
        <v>142</v>
      </c>
      <c r="C22" s="224" t="s">
        <v>7</v>
      </c>
      <c r="D22" s="227" t="s">
        <v>206</v>
      </c>
      <c r="E22" t="s">
        <v>7</v>
      </c>
      <c r="J22">
        <v>18</v>
      </c>
      <c r="O22" s="2">
        <v>43647</v>
      </c>
      <c r="Q22" s="2">
        <v>44013</v>
      </c>
      <c r="R22" s="2"/>
    </row>
    <row r="23" spans="2:19" ht="15" customHeight="1">
      <c r="B23" s="32" t="s">
        <v>143</v>
      </c>
      <c r="C23" s="224" t="s">
        <v>7</v>
      </c>
      <c r="D23" s="227" t="s">
        <v>207</v>
      </c>
      <c r="E23" t="s">
        <v>7</v>
      </c>
      <c r="J23">
        <v>19</v>
      </c>
      <c r="L23" t="s">
        <v>314</v>
      </c>
      <c r="M23" t="b">
        <v>0</v>
      </c>
      <c r="O23" s="2">
        <v>43709</v>
      </c>
      <c r="Q23" s="2">
        <v>44074</v>
      </c>
      <c r="R23" s="2"/>
    </row>
    <row r="24" spans="2:19" ht="15" customHeight="1">
      <c r="B24" s="32" t="s">
        <v>144</v>
      </c>
      <c r="C24" s="224" t="s">
        <v>7</v>
      </c>
      <c r="D24" s="227" t="s">
        <v>208</v>
      </c>
      <c r="E24" t="s">
        <v>7</v>
      </c>
      <c r="J24">
        <v>20</v>
      </c>
      <c r="L24" t="s">
        <v>451</v>
      </c>
      <c r="M24" t="b">
        <v>0</v>
      </c>
      <c r="O24" s="2">
        <v>43738</v>
      </c>
      <c r="Q24" s="2">
        <v>44104</v>
      </c>
      <c r="R24" s="2"/>
    </row>
    <row r="25" spans="2:19" ht="15" customHeight="1">
      <c r="B25" s="32" t="s">
        <v>145</v>
      </c>
      <c r="C25" s="224" t="s">
        <v>7</v>
      </c>
      <c r="D25" s="227" t="s">
        <v>209</v>
      </c>
      <c r="E25" t="s">
        <v>7</v>
      </c>
      <c r="J25">
        <v>21</v>
      </c>
      <c r="Q25" s="2">
        <v>44105</v>
      </c>
      <c r="R25" s="2"/>
    </row>
    <row r="26" spans="2:19" ht="15" customHeight="1">
      <c r="B26" s="32" t="s">
        <v>146</v>
      </c>
      <c r="C26" s="224" t="s">
        <v>7</v>
      </c>
      <c r="D26" s="227" t="s">
        <v>210</v>
      </c>
      <c r="E26" t="s">
        <v>7</v>
      </c>
      <c r="J26">
        <v>22</v>
      </c>
      <c r="L26" t="s">
        <v>344</v>
      </c>
      <c r="M26" t="b">
        <v>0</v>
      </c>
      <c r="O26" s="2">
        <v>43799</v>
      </c>
      <c r="Q26" s="2">
        <v>44135</v>
      </c>
      <c r="R26" s="2"/>
    </row>
    <row r="27" spans="2:19" ht="15" customHeight="1">
      <c r="B27" s="32" t="s">
        <v>177</v>
      </c>
      <c r="C27" s="224" t="s">
        <v>7</v>
      </c>
      <c r="D27" s="227" t="s">
        <v>211</v>
      </c>
      <c r="E27" t="s">
        <v>7</v>
      </c>
      <c r="J27">
        <v>23</v>
      </c>
      <c r="L27" s="308" t="s">
        <v>385</v>
      </c>
      <c r="M27" t="b">
        <v>0</v>
      </c>
      <c r="O27" s="2">
        <v>43800</v>
      </c>
      <c r="Q27" s="2">
        <v>44165</v>
      </c>
      <c r="R27" s="2"/>
    </row>
    <row r="28" spans="2:19" ht="15" customHeight="1">
      <c r="B28" s="32" t="s">
        <v>147</v>
      </c>
      <c r="C28" s="224" t="s">
        <v>7</v>
      </c>
      <c r="D28" s="227" t="s">
        <v>212</v>
      </c>
      <c r="E28" t="s">
        <v>7</v>
      </c>
      <c r="J28">
        <v>24</v>
      </c>
      <c r="O28" s="2">
        <v>43830</v>
      </c>
      <c r="Q28" s="2">
        <v>44166</v>
      </c>
      <c r="R28" s="2"/>
    </row>
    <row r="29" spans="2:19" ht="15" customHeight="1">
      <c r="B29" s="33" t="s">
        <v>148</v>
      </c>
      <c r="C29" s="224" t="s">
        <v>7</v>
      </c>
      <c r="D29" s="227" t="s">
        <v>213</v>
      </c>
      <c r="E29" t="s">
        <v>7</v>
      </c>
      <c r="J29">
        <v>25</v>
      </c>
      <c r="L29" t="s">
        <v>345</v>
      </c>
      <c r="M29" t="b">
        <v>0</v>
      </c>
      <c r="Q29" s="2">
        <v>44196</v>
      </c>
      <c r="R29" s="2"/>
    </row>
    <row r="30" spans="2:19" ht="15" customHeight="1">
      <c r="B30" s="32" t="s">
        <v>149</v>
      </c>
      <c r="C30" s="224" t="s">
        <v>7</v>
      </c>
      <c r="D30" s="227" t="s">
        <v>214</v>
      </c>
      <c r="E30" t="s">
        <v>7</v>
      </c>
      <c r="J30">
        <v>26</v>
      </c>
      <c r="L30" s="329" t="s">
        <v>439</v>
      </c>
      <c r="M30" t="b">
        <v>0</v>
      </c>
    </row>
    <row r="31" spans="2:19" ht="15" customHeight="1">
      <c r="B31" s="32" t="s">
        <v>150</v>
      </c>
      <c r="C31" s="224" t="s">
        <v>7</v>
      </c>
      <c r="D31" s="227" t="s">
        <v>215</v>
      </c>
      <c r="E31" t="s">
        <v>7</v>
      </c>
      <c r="J31">
        <v>27</v>
      </c>
      <c r="L31" s="329"/>
    </row>
    <row r="32" spans="2:19" ht="15" customHeight="1">
      <c r="B32" s="32" t="s">
        <v>151</v>
      </c>
      <c r="C32" s="224" t="s">
        <v>7</v>
      </c>
      <c r="D32" s="227" t="s">
        <v>216</v>
      </c>
      <c r="E32" t="s">
        <v>7</v>
      </c>
      <c r="J32">
        <v>28</v>
      </c>
      <c r="L32" t="s">
        <v>346</v>
      </c>
      <c r="M32" t="b">
        <v>0</v>
      </c>
    </row>
    <row r="33" spans="2:26" ht="15" customHeight="1">
      <c r="B33" s="32" t="s">
        <v>152</v>
      </c>
      <c r="C33" s="224" t="s">
        <v>7</v>
      </c>
      <c r="D33" s="227" t="s">
        <v>217</v>
      </c>
      <c r="E33" t="s">
        <v>7</v>
      </c>
      <c r="J33">
        <v>29</v>
      </c>
      <c r="L33" s="329" t="s">
        <v>458</v>
      </c>
      <c r="M33" t="b">
        <v>0</v>
      </c>
    </row>
    <row r="34" spans="2:26" ht="15" customHeight="1">
      <c r="B34" s="32" t="s">
        <v>153</v>
      </c>
      <c r="C34" s="224" t="s">
        <v>7</v>
      </c>
      <c r="D34" s="227" t="s">
        <v>218</v>
      </c>
      <c r="E34" t="s">
        <v>7</v>
      </c>
      <c r="J34">
        <v>30</v>
      </c>
    </row>
    <row r="35" spans="2:26" ht="15" customHeight="1">
      <c r="B35" s="32" t="s">
        <v>154</v>
      </c>
      <c r="C35" s="224" t="s">
        <v>7</v>
      </c>
      <c r="D35" s="227" t="s">
        <v>219</v>
      </c>
      <c r="E35" t="s">
        <v>7</v>
      </c>
      <c r="J35">
        <v>31</v>
      </c>
      <c r="L35" t="s">
        <v>347</v>
      </c>
      <c r="M35" t="b">
        <v>0</v>
      </c>
    </row>
    <row r="36" spans="2:26" ht="15" customHeight="1">
      <c r="B36" s="32" t="s">
        <v>155</v>
      </c>
      <c r="C36" s="224" t="s">
        <v>7</v>
      </c>
      <c r="D36" s="237" t="s">
        <v>255</v>
      </c>
      <c r="E36" t="s">
        <v>7</v>
      </c>
      <c r="L36" s="329" t="s">
        <v>488</v>
      </c>
      <c r="M36" t="b">
        <v>0</v>
      </c>
    </row>
    <row r="37" spans="2:26" ht="15" customHeight="1">
      <c r="B37" s="32" t="s">
        <v>156</v>
      </c>
      <c r="C37" s="224" t="s">
        <v>7</v>
      </c>
      <c r="D37" s="227" t="s">
        <v>220</v>
      </c>
      <c r="E37" t="s">
        <v>7</v>
      </c>
    </row>
    <row r="38" spans="2:26" ht="15" customHeight="1">
      <c r="B38" s="32" t="s">
        <v>157</v>
      </c>
      <c r="C38" s="224" t="s">
        <v>7</v>
      </c>
      <c r="D38" s="227" t="s">
        <v>221</v>
      </c>
      <c r="E38" t="s">
        <v>7</v>
      </c>
      <c r="L38" t="s">
        <v>469</v>
      </c>
      <c r="M38" t="b">
        <v>0</v>
      </c>
    </row>
    <row r="39" spans="2:26" ht="15" customHeight="1">
      <c r="B39" s="32" t="s">
        <v>158</v>
      </c>
      <c r="C39" s="224" t="s">
        <v>7</v>
      </c>
      <c r="D39" s="227" t="s">
        <v>222</v>
      </c>
      <c r="E39" t="s">
        <v>7</v>
      </c>
      <c r="L39" s="3" t="s">
        <v>489</v>
      </c>
      <c r="M39" t="b">
        <v>0</v>
      </c>
    </row>
    <row r="40" spans="2:26" ht="15" customHeight="1">
      <c r="B40" s="33" t="s">
        <v>159</v>
      </c>
      <c r="C40" s="224" t="s">
        <v>7</v>
      </c>
      <c r="D40" s="227" t="s">
        <v>223</v>
      </c>
      <c r="E40" t="s">
        <v>7</v>
      </c>
    </row>
    <row r="41" spans="2:26" ht="15" customHeight="1">
      <c r="B41" s="32" t="s">
        <v>186</v>
      </c>
      <c r="C41" s="224" t="s">
        <v>7</v>
      </c>
      <c r="D41" s="227" t="s">
        <v>224</v>
      </c>
      <c r="E41" t="s">
        <v>7</v>
      </c>
      <c r="L41" t="s">
        <v>502</v>
      </c>
      <c r="M41" t="b">
        <v>0</v>
      </c>
    </row>
    <row r="42" spans="2:26" ht="15" customHeight="1">
      <c r="B42" s="32"/>
      <c r="C42" s="224"/>
      <c r="D42" s="227"/>
      <c r="L42" s="3" t="s">
        <v>503</v>
      </c>
      <c r="M42" t="b">
        <v>0</v>
      </c>
    </row>
    <row r="43" spans="2:26" ht="15" customHeight="1">
      <c r="B43" s="33" t="s">
        <v>160</v>
      </c>
      <c r="C43" s="224" t="s">
        <v>7</v>
      </c>
      <c r="D43" s="227" t="s">
        <v>225</v>
      </c>
      <c r="E43" t="s">
        <v>7</v>
      </c>
      <c r="L43" s="3" t="s">
        <v>506</v>
      </c>
      <c r="M43" t="b">
        <v>0</v>
      </c>
    </row>
    <row r="44" spans="2:26" ht="15" customHeight="1">
      <c r="B44" s="32" t="s">
        <v>161</v>
      </c>
      <c r="C44" s="224" t="s">
        <v>7</v>
      </c>
      <c r="D44" s="227" t="s">
        <v>226</v>
      </c>
      <c r="E44" t="s">
        <v>7</v>
      </c>
    </row>
    <row r="45" spans="2:26" ht="15" customHeight="1">
      <c r="B45" s="32" t="s">
        <v>162</v>
      </c>
      <c r="C45" s="224" t="s">
        <v>7</v>
      </c>
      <c r="D45" s="228" t="s">
        <v>108</v>
      </c>
      <c r="E45" t="s">
        <v>7</v>
      </c>
      <c r="L45" t="s">
        <v>10</v>
      </c>
      <c r="M45" t="b">
        <v>0</v>
      </c>
    </row>
    <row r="46" spans="2:26" ht="15" customHeight="1">
      <c r="B46" s="32" t="s">
        <v>163</v>
      </c>
      <c r="C46" s="224" t="s">
        <v>7</v>
      </c>
      <c r="D46" s="227" t="s">
        <v>227</v>
      </c>
      <c r="E46" t="s">
        <v>7</v>
      </c>
      <c r="L46" s="3" t="s">
        <v>523</v>
      </c>
      <c r="M46" t="b">
        <v>0</v>
      </c>
    </row>
    <row r="47" spans="2:26" ht="15" customHeight="1">
      <c r="B47" s="32" t="s">
        <v>164</v>
      </c>
      <c r="C47" s="224" t="s">
        <v>7</v>
      </c>
      <c r="D47" s="227" t="s">
        <v>228</v>
      </c>
      <c r="E47" t="s">
        <v>7</v>
      </c>
      <c r="L47" s="3" t="s">
        <v>524</v>
      </c>
      <c r="M47" t="b">
        <v>0</v>
      </c>
    </row>
    <row r="48" spans="2:26" ht="15" customHeight="1">
      <c r="B48" s="32" t="s">
        <v>165</v>
      </c>
      <c r="C48" s="224" t="s">
        <v>7</v>
      </c>
      <c r="D48" s="227" t="s">
        <v>229</v>
      </c>
      <c r="E48" t="s">
        <v>7</v>
      </c>
      <c r="Z48" t="str">
        <f>IF(Z47&gt;=0.7,IF(Z41="OUI",Annexes!O6,IF(AND(Z43="OUI",Z40&gt;=0.8),"-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aide")),IF(Z47&gt;=0.5,IF(Z41="OUI","- L'entreprise a subi une perte d'au-moins 50 % en Octobre 2020 et est mentionnée en annexe 1 (S1) du décret 2020-1328, l'entreprise peut bénéficier à ce titre d'une aide plafonné à 10 000 €",IF(AND(Z43="OUI",Z40&gt;=0.8),"-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9" spans="2:5" ht="15" customHeight="1">
      <c r="B49" s="32" t="s">
        <v>166</v>
      </c>
      <c r="C49" s="224" t="s">
        <v>7</v>
      </c>
      <c r="D49" s="238" t="s">
        <v>256</v>
      </c>
      <c r="E49" t="s">
        <v>7</v>
      </c>
    </row>
    <row r="50" spans="2:5" ht="15" customHeight="1">
      <c r="B50" s="34" t="s">
        <v>187</v>
      </c>
      <c r="C50" s="224" t="s">
        <v>7</v>
      </c>
      <c r="D50" s="229" t="s">
        <v>257</v>
      </c>
      <c r="E50" t="s">
        <v>7</v>
      </c>
    </row>
    <row r="51" spans="2:5" ht="15" customHeight="1">
      <c r="B51" s="34" t="s">
        <v>188</v>
      </c>
      <c r="C51" s="224" t="s">
        <v>7</v>
      </c>
      <c r="D51" s="229" t="s">
        <v>258</v>
      </c>
      <c r="E51" t="s">
        <v>7</v>
      </c>
    </row>
    <row r="52" spans="2:5" ht="15" customHeight="1">
      <c r="B52" s="32" t="s">
        <v>167</v>
      </c>
      <c r="C52" s="224" t="s">
        <v>7</v>
      </c>
      <c r="D52" s="229" t="s">
        <v>259</v>
      </c>
      <c r="E52" t="s">
        <v>7</v>
      </c>
    </row>
    <row r="53" spans="2:5" ht="15" customHeight="1">
      <c r="B53" s="32" t="s">
        <v>168</v>
      </c>
      <c r="C53" s="224" t="s">
        <v>7</v>
      </c>
      <c r="D53" s="229" t="s">
        <v>260</v>
      </c>
      <c r="E53" t="s">
        <v>7</v>
      </c>
    </row>
    <row r="54" spans="2:5" ht="15" customHeight="1">
      <c r="B54" s="32" t="s">
        <v>169</v>
      </c>
      <c r="C54" s="224" t="s">
        <v>7</v>
      </c>
      <c r="D54" s="229" t="s">
        <v>261</v>
      </c>
      <c r="E54" t="s">
        <v>7</v>
      </c>
    </row>
    <row r="55" spans="2:5" ht="15" customHeight="1">
      <c r="B55" s="32" t="s">
        <v>170</v>
      </c>
      <c r="C55" s="224" t="s">
        <v>7</v>
      </c>
      <c r="D55" s="229" t="s">
        <v>262</v>
      </c>
      <c r="E55" t="s">
        <v>7</v>
      </c>
    </row>
    <row r="56" spans="2:5" ht="15" customHeight="1">
      <c r="B56" s="32" t="s">
        <v>171</v>
      </c>
      <c r="C56" s="224" t="s">
        <v>7</v>
      </c>
      <c r="D56" s="229" t="s">
        <v>263</v>
      </c>
      <c r="E56" t="s">
        <v>7</v>
      </c>
    </row>
    <row r="57" spans="2:5" ht="15" customHeight="1">
      <c r="B57" s="33" t="s">
        <v>172</v>
      </c>
      <c r="C57" s="224" t="s">
        <v>7</v>
      </c>
      <c r="D57" s="230" t="s">
        <v>264</v>
      </c>
      <c r="E57" t="s">
        <v>7</v>
      </c>
    </row>
    <row r="58" spans="2:5" ht="15" customHeight="1">
      <c r="B58" s="34" t="s">
        <v>189</v>
      </c>
      <c r="C58" s="224" t="s">
        <v>7</v>
      </c>
      <c r="D58" s="230" t="s">
        <v>265</v>
      </c>
      <c r="E58" t="s">
        <v>7</v>
      </c>
    </row>
    <row r="59" spans="2:5" ht="15" customHeight="1">
      <c r="B59" s="34" t="s">
        <v>190</v>
      </c>
      <c r="C59" s="224" t="s">
        <v>7</v>
      </c>
      <c r="D59" s="230" t="s">
        <v>266</v>
      </c>
      <c r="E59" t="s">
        <v>7</v>
      </c>
    </row>
    <row r="60" spans="2:5" ht="15" customHeight="1">
      <c r="B60" s="34" t="s">
        <v>191</v>
      </c>
      <c r="C60" s="224" t="s">
        <v>7</v>
      </c>
      <c r="D60" s="230" t="s">
        <v>267</v>
      </c>
      <c r="E60" t="s">
        <v>7</v>
      </c>
    </row>
    <row r="61" spans="2:5" ht="15" customHeight="1">
      <c r="B61" s="34" t="s">
        <v>192</v>
      </c>
      <c r="C61" s="224" t="s">
        <v>7</v>
      </c>
      <c r="D61" s="230" t="s">
        <v>268</v>
      </c>
      <c r="E61" t="s">
        <v>7</v>
      </c>
    </row>
    <row r="62" spans="2:5" ht="15" customHeight="1">
      <c r="B62" s="34" t="s">
        <v>193</v>
      </c>
      <c r="C62" s="224" t="s">
        <v>7</v>
      </c>
      <c r="D62" s="230" t="s">
        <v>269</v>
      </c>
      <c r="E62" t="s">
        <v>7</v>
      </c>
    </row>
    <row r="63" spans="2:5" ht="15" customHeight="1">
      <c r="B63" s="34" t="s">
        <v>194</v>
      </c>
      <c r="C63" s="224" t="s">
        <v>7</v>
      </c>
      <c r="D63" s="230" t="s">
        <v>270</v>
      </c>
      <c r="E63" t="s">
        <v>7</v>
      </c>
    </row>
    <row r="64" spans="2:5" ht="15" customHeight="1">
      <c r="B64" s="35" t="s">
        <v>195</v>
      </c>
      <c r="C64" s="224" t="s">
        <v>7</v>
      </c>
      <c r="D64" s="230" t="s">
        <v>271</v>
      </c>
      <c r="E64" t="s">
        <v>7</v>
      </c>
    </row>
    <row r="65" spans="2:5" ht="15" customHeight="1">
      <c r="B65" s="234" t="s">
        <v>173</v>
      </c>
      <c r="C65" s="224" t="s">
        <v>7</v>
      </c>
      <c r="D65" s="230" t="s">
        <v>272</v>
      </c>
      <c r="E65" t="s">
        <v>7</v>
      </c>
    </row>
    <row r="66" spans="2:5" ht="15" customHeight="1">
      <c r="B66" s="235" t="s">
        <v>178</v>
      </c>
      <c r="C66" s="224" t="s">
        <v>7</v>
      </c>
      <c r="D66" s="230" t="s">
        <v>273</v>
      </c>
      <c r="E66" t="s">
        <v>7</v>
      </c>
    </row>
    <row r="67" spans="2:5" ht="15" customHeight="1">
      <c r="B67" s="235" t="s">
        <v>179</v>
      </c>
      <c r="C67" s="224" t="s">
        <v>7</v>
      </c>
      <c r="D67" s="230" t="s">
        <v>274</v>
      </c>
      <c r="E67" t="s">
        <v>7</v>
      </c>
    </row>
    <row r="68" spans="2:5" ht="15" customHeight="1">
      <c r="B68" s="235" t="s">
        <v>180</v>
      </c>
      <c r="C68" s="224" t="s">
        <v>7</v>
      </c>
      <c r="D68" s="230" t="s">
        <v>275</v>
      </c>
      <c r="E68" t="s">
        <v>7</v>
      </c>
    </row>
    <row r="69" spans="2:5" ht="15" customHeight="1">
      <c r="B69" s="235" t="s">
        <v>181</v>
      </c>
      <c r="C69" s="224" t="s">
        <v>7</v>
      </c>
      <c r="D69" s="230" t="s">
        <v>276</v>
      </c>
      <c r="E69" t="s">
        <v>7</v>
      </c>
    </row>
    <row r="70" spans="2:5" ht="15" customHeight="1">
      <c r="B70" s="235" t="s">
        <v>182</v>
      </c>
      <c r="C70" s="224" t="s">
        <v>7</v>
      </c>
      <c r="D70" s="230" t="s">
        <v>277</v>
      </c>
      <c r="E70" t="s">
        <v>7</v>
      </c>
    </row>
    <row r="71" spans="2:5" ht="15" customHeight="1">
      <c r="B71" s="235" t="s">
        <v>183</v>
      </c>
      <c r="C71" s="224" t="s">
        <v>7</v>
      </c>
      <c r="D71" s="230" t="s">
        <v>278</v>
      </c>
      <c r="E71" t="s">
        <v>7</v>
      </c>
    </row>
    <row r="72" spans="2:5" ht="15" customHeight="1">
      <c r="B72" s="235" t="s">
        <v>184</v>
      </c>
      <c r="C72" s="224" t="s">
        <v>7</v>
      </c>
      <c r="D72" s="230" t="s">
        <v>279</v>
      </c>
      <c r="E72" t="s">
        <v>7</v>
      </c>
    </row>
    <row r="73" spans="2:5" ht="15" customHeight="1">
      <c r="B73" s="236" t="s">
        <v>174</v>
      </c>
      <c r="C73" s="224" t="s">
        <v>7</v>
      </c>
      <c r="D73" s="230" t="s">
        <v>280</v>
      </c>
      <c r="E73" t="s">
        <v>7</v>
      </c>
    </row>
    <row r="74" spans="2:5" ht="15" customHeight="1">
      <c r="B74" s="236" t="s">
        <v>230</v>
      </c>
      <c r="C74" s="224" t="s">
        <v>7</v>
      </c>
      <c r="D74" s="230" t="s">
        <v>281</v>
      </c>
      <c r="E74" t="s">
        <v>7</v>
      </c>
    </row>
    <row r="75" spans="2:5" ht="15" customHeight="1">
      <c r="B75" s="236" t="s">
        <v>175</v>
      </c>
      <c r="C75" s="224" t="s">
        <v>7</v>
      </c>
      <c r="D75" s="230" t="s">
        <v>282</v>
      </c>
      <c r="E75" t="s">
        <v>7</v>
      </c>
    </row>
    <row r="76" spans="2:5" ht="15" customHeight="1">
      <c r="B76" s="236" t="s">
        <v>231</v>
      </c>
      <c r="C76" s="224" t="s">
        <v>7</v>
      </c>
      <c r="D76" s="230" t="s">
        <v>283</v>
      </c>
      <c r="E76" t="s">
        <v>7</v>
      </c>
    </row>
    <row r="77" spans="2:5" ht="15" customHeight="1">
      <c r="B77" s="236" t="s">
        <v>176</v>
      </c>
      <c r="C77" s="224" t="s">
        <v>7</v>
      </c>
      <c r="D77" s="230" t="s">
        <v>284</v>
      </c>
      <c r="E77" t="s">
        <v>7</v>
      </c>
    </row>
    <row r="78" spans="2:5" ht="15" customHeight="1">
      <c r="B78" s="236" t="s">
        <v>232</v>
      </c>
      <c r="C78" s="224" t="s">
        <v>7</v>
      </c>
      <c r="D78" s="230" t="s">
        <v>285</v>
      </c>
      <c r="E78" t="s">
        <v>7</v>
      </c>
    </row>
    <row r="79" spans="2:5" ht="15" customHeight="1">
      <c r="B79" s="236" t="s">
        <v>233</v>
      </c>
      <c r="C79" s="224" t="s">
        <v>7</v>
      </c>
      <c r="D79" s="230" t="s">
        <v>286</v>
      </c>
      <c r="E79" t="s">
        <v>7</v>
      </c>
    </row>
    <row r="80" spans="2:5" ht="15" customHeight="1">
      <c r="B80" s="236" t="s">
        <v>234</v>
      </c>
      <c r="C80" s="224" t="s">
        <v>7</v>
      </c>
      <c r="D80" s="230" t="s">
        <v>287</v>
      </c>
      <c r="E80" t="s">
        <v>7</v>
      </c>
    </row>
    <row r="81" spans="2:5" ht="15" customHeight="1">
      <c r="B81" s="236" t="s">
        <v>235</v>
      </c>
      <c r="C81" s="224" t="s">
        <v>7</v>
      </c>
      <c r="D81" s="230" t="s">
        <v>288</v>
      </c>
      <c r="E81" t="s">
        <v>7</v>
      </c>
    </row>
    <row r="82" spans="2:5" ht="15" customHeight="1">
      <c r="B82" s="236" t="s">
        <v>236</v>
      </c>
      <c r="C82" s="224" t="s">
        <v>7</v>
      </c>
      <c r="D82" s="230" t="s">
        <v>289</v>
      </c>
      <c r="E82" t="s">
        <v>7</v>
      </c>
    </row>
    <row r="83" spans="2:5" ht="15" customHeight="1">
      <c r="B83" s="236" t="s">
        <v>237</v>
      </c>
      <c r="C83" s="224" t="s">
        <v>7</v>
      </c>
      <c r="D83" s="228" t="s">
        <v>293</v>
      </c>
      <c r="E83" t="s">
        <v>7</v>
      </c>
    </row>
    <row r="84" spans="2:5" ht="15" customHeight="1">
      <c r="B84" s="224"/>
      <c r="C84" s="224" t="s">
        <v>7</v>
      </c>
      <c r="D84" s="230" t="s">
        <v>290</v>
      </c>
      <c r="E84" t="s">
        <v>7</v>
      </c>
    </row>
    <row r="85" spans="2:5" ht="15" customHeight="1">
      <c r="B85" s="224"/>
      <c r="C85" s="224" t="s">
        <v>7</v>
      </c>
      <c r="D85" s="230" t="s">
        <v>291</v>
      </c>
      <c r="E85" t="s">
        <v>7</v>
      </c>
    </row>
    <row r="86" spans="2:5" ht="15" customHeight="1">
      <c r="B86" s="224"/>
      <c r="C86" s="224" t="s">
        <v>7</v>
      </c>
      <c r="D86" s="230" t="s">
        <v>292</v>
      </c>
      <c r="E86" t="s">
        <v>7</v>
      </c>
    </row>
    <row r="87" spans="2:5" ht="15" customHeight="1">
      <c r="B87" s="224"/>
      <c r="C87" s="224" t="s">
        <v>7</v>
      </c>
      <c r="D87" s="231" t="s">
        <v>245</v>
      </c>
      <c r="E87" t="s">
        <v>7</v>
      </c>
    </row>
    <row r="88" spans="2:5" ht="15" customHeight="1">
      <c r="B88" s="224"/>
      <c r="C88" s="224" t="s">
        <v>7</v>
      </c>
      <c r="D88" s="231" t="s">
        <v>246</v>
      </c>
      <c r="E88" t="s">
        <v>7</v>
      </c>
    </row>
    <row r="89" spans="2:5" ht="15" customHeight="1">
      <c r="B89" s="224"/>
      <c r="C89" s="224" t="s">
        <v>7</v>
      </c>
      <c r="D89" s="231" t="s">
        <v>247</v>
      </c>
      <c r="E89" t="s">
        <v>7</v>
      </c>
    </row>
    <row r="90" spans="2:5" ht="15" customHeight="1">
      <c r="B90" s="224"/>
      <c r="C90" s="224"/>
      <c r="D90" s="231" t="s">
        <v>248</v>
      </c>
      <c r="E90" t="s">
        <v>7</v>
      </c>
    </row>
    <row r="91" spans="2:5" ht="15" customHeight="1">
      <c r="B91" s="224"/>
      <c r="C91" s="224"/>
      <c r="D91" s="231" t="s">
        <v>249</v>
      </c>
      <c r="E91" t="s">
        <v>7</v>
      </c>
    </row>
    <row r="92" spans="2:5" ht="15" customHeight="1">
      <c r="B92" s="224"/>
      <c r="C92" s="224"/>
      <c r="D92" s="231" t="s">
        <v>250</v>
      </c>
      <c r="E92" t="s">
        <v>7</v>
      </c>
    </row>
    <row r="93" spans="2:5" ht="15" customHeight="1">
      <c r="B93" s="224"/>
      <c r="C93" s="224"/>
      <c r="D93" s="239" t="s">
        <v>251</v>
      </c>
      <c r="E93" t="s">
        <v>7</v>
      </c>
    </row>
    <row r="94" spans="2:5" ht="15" customHeight="1">
      <c r="B94" s="224"/>
      <c r="C94" s="224"/>
      <c r="D94" s="231" t="s">
        <v>252</v>
      </c>
      <c r="E94" t="s">
        <v>7</v>
      </c>
    </row>
    <row r="95" spans="2:5" ht="15" customHeight="1">
      <c r="B95" s="224"/>
      <c r="C95" s="224"/>
      <c r="D95" s="239" t="s">
        <v>253</v>
      </c>
      <c r="E95" t="s">
        <v>7</v>
      </c>
    </row>
    <row r="96" spans="2:5" ht="15" customHeight="1">
      <c r="B96" s="224"/>
      <c r="C96" s="224"/>
      <c r="D96" s="239" t="s">
        <v>254</v>
      </c>
      <c r="E96" t="s">
        <v>7</v>
      </c>
    </row>
    <row r="97" spans="2:5" ht="15" customHeight="1">
      <c r="B97" s="224"/>
      <c r="C97" s="224"/>
      <c r="D97" s="258" t="s">
        <v>315</v>
      </c>
      <c r="E97" t="s">
        <v>7</v>
      </c>
    </row>
    <row r="98" spans="2:5" ht="15" customHeight="1">
      <c r="B98" s="224"/>
      <c r="C98" s="224"/>
      <c r="D98" s="240" t="s">
        <v>316</v>
      </c>
      <c r="E98" t="s">
        <v>7</v>
      </c>
    </row>
    <row r="99" spans="2:5" ht="15" customHeight="1">
      <c r="B99" s="224"/>
      <c r="C99" s="224"/>
      <c r="D99" s="240" t="s">
        <v>317</v>
      </c>
      <c r="E99" t="s">
        <v>7</v>
      </c>
    </row>
    <row r="100" spans="2:5" ht="15" customHeight="1">
      <c r="B100" s="224"/>
      <c r="C100" s="224"/>
      <c r="D100" s="259" t="s">
        <v>294</v>
      </c>
      <c r="E100" t="s">
        <v>7</v>
      </c>
    </row>
    <row r="101" spans="2:5" ht="15" customHeight="1">
      <c r="B101" s="224"/>
      <c r="C101" s="224"/>
      <c r="D101" s="240" t="s">
        <v>295</v>
      </c>
      <c r="E101" t="s">
        <v>7</v>
      </c>
    </row>
    <row r="102" spans="2:5" ht="15" customHeight="1">
      <c r="B102" s="224"/>
      <c r="C102" s="224"/>
      <c r="D102" s="241" t="s">
        <v>296</v>
      </c>
      <c r="E102" t="s">
        <v>7</v>
      </c>
    </row>
    <row r="103" spans="2:5" ht="15" customHeight="1">
      <c r="B103" s="224"/>
      <c r="C103" s="224"/>
      <c r="D103" s="241" t="s">
        <v>297</v>
      </c>
      <c r="E103" t="s">
        <v>7</v>
      </c>
    </row>
    <row r="104" spans="2:5" ht="15" customHeight="1">
      <c r="B104" s="224"/>
      <c r="C104" s="224"/>
      <c r="D104" s="241" t="s">
        <v>298</v>
      </c>
      <c r="E104" t="s">
        <v>7</v>
      </c>
    </row>
    <row r="105" spans="2:5" ht="15" customHeight="1">
      <c r="B105" s="224"/>
      <c r="C105" s="224"/>
      <c r="D105" s="241" t="s">
        <v>124</v>
      </c>
      <c r="E105" t="s">
        <v>7</v>
      </c>
    </row>
    <row r="106" spans="2:5" ht="15" customHeight="1">
      <c r="B106" s="224"/>
      <c r="C106" s="224"/>
      <c r="D106" s="258" t="s">
        <v>321</v>
      </c>
      <c r="E106" t="s">
        <v>7</v>
      </c>
    </row>
    <row r="107" spans="2:5" ht="15" customHeight="1">
      <c r="B107" s="224"/>
      <c r="C107" s="224"/>
      <c r="D107" s="241" t="s">
        <v>318</v>
      </c>
      <c r="E107" t="s">
        <v>7</v>
      </c>
    </row>
    <row r="108" spans="2:5" ht="15" customHeight="1">
      <c r="B108" s="224"/>
      <c r="C108" s="224"/>
      <c r="D108" s="241" t="s">
        <v>319</v>
      </c>
      <c r="E108" t="s">
        <v>7</v>
      </c>
    </row>
    <row r="109" spans="2:5" ht="15" customHeight="1">
      <c r="B109" s="224"/>
      <c r="C109" s="224"/>
      <c r="D109" s="241" t="s">
        <v>320</v>
      </c>
      <c r="E109" t="s">
        <v>7</v>
      </c>
    </row>
    <row r="110" spans="2:5" ht="15" customHeight="1">
      <c r="B110" s="224"/>
      <c r="C110" s="224"/>
      <c r="D110" s="260" t="s">
        <v>322</v>
      </c>
      <c r="E110" t="s">
        <v>7</v>
      </c>
    </row>
    <row r="111" spans="2:5" ht="15" customHeight="1">
      <c r="B111" s="224"/>
      <c r="C111" s="224"/>
      <c r="D111" s="242" t="s">
        <v>323</v>
      </c>
      <c r="E111" t="s">
        <v>7</v>
      </c>
    </row>
    <row r="112" spans="2:5" ht="15" customHeight="1">
      <c r="B112" s="224"/>
      <c r="C112" s="224"/>
      <c r="D112" s="242" t="s">
        <v>324</v>
      </c>
      <c r="E112" t="s">
        <v>7</v>
      </c>
    </row>
    <row r="113" spans="2:5" ht="15" customHeight="1">
      <c r="B113" s="224"/>
      <c r="C113" s="224"/>
      <c r="D113" s="242" t="s">
        <v>325</v>
      </c>
      <c r="E113" t="s">
        <v>7</v>
      </c>
    </row>
    <row r="114" spans="2:5" ht="15" customHeight="1">
      <c r="B114" s="224"/>
      <c r="C114" s="224"/>
      <c r="D114" s="242" t="s">
        <v>326</v>
      </c>
      <c r="E114" t="s">
        <v>7</v>
      </c>
    </row>
    <row r="115" spans="2:5" ht="15" customHeight="1">
      <c r="B115" s="224"/>
      <c r="C115" s="224"/>
      <c r="D115" s="242" t="s">
        <v>327</v>
      </c>
      <c r="E115" t="s">
        <v>7</v>
      </c>
    </row>
    <row r="116" spans="2:5" ht="15" customHeight="1">
      <c r="B116" s="224"/>
      <c r="C116" s="224"/>
      <c r="D116" s="242" t="s">
        <v>328</v>
      </c>
      <c r="E116" t="s">
        <v>7</v>
      </c>
    </row>
    <row r="117" spans="2:5" ht="15" customHeight="1">
      <c r="B117" s="224"/>
      <c r="C117" s="224"/>
      <c r="D117" s="242" t="s">
        <v>329</v>
      </c>
      <c r="E117" t="s">
        <v>7</v>
      </c>
    </row>
    <row r="118" spans="2:5" ht="15" customHeight="1">
      <c r="B118" s="224"/>
      <c r="C118" s="224"/>
      <c r="D118" s="242" t="s">
        <v>330</v>
      </c>
      <c r="E118" t="s">
        <v>7</v>
      </c>
    </row>
    <row r="119" spans="2:5" ht="15" customHeight="1">
      <c r="B119" s="224"/>
      <c r="C119" s="224"/>
      <c r="D119" s="242" t="s">
        <v>331</v>
      </c>
      <c r="E119" t="s">
        <v>7</v>
      </c>
    </row>
    <row r="120" spans="2:5" ht="15" customHeight="1">
      <c r="B120" s="224"/>
      <c r="C120" s="224"/>
      <c r="D120" s="262" t="s">
        <v>338</v>
      </c>
      <c r="E120" t="s">
        <v>7</v>
      </c>
    </row>
    <row r="121" spans="2:5" ht="15" customHeight="1">
      <c r="B121" s="224"/>
      <c r="C121" s="224"/>
      <c r="D121" s="242" t="s">
        <v>339</v>
      </c>
      <c r="E121" t="s">
        <v>7</v>
      </c>
    </row>
    <row r="122" spans="2:5" ht="15" customHeight="1">
      <c r="B122" s="224"/>
      <c r="C122" s="224"/>
      <c r="D122" s="242" t="s">
        <v>340</v>
      </c>
      <c r="E122" t="s">
        <v>7</v>
      </c>
    </row>
    <row r="123" spans="2:5" ht="15" customHeight="1">
      <c r="B123" s="224"/>
      <c r="C123" s="224"/>
      <c r="D123" s="242" t="s">
        <v>341</v>
      </c>
      <c r="E123" t="s">
        <v>7</v>
      </c>
    </row>
    <row r="124" spans="2:5" ht="15" customHeight="1">
      <c r="B124" s="224"/>
      <c r="C124" s="224"/>
      <c r="D124" s="242" t="s">
        <v>342</v>
      </c>
      <c r="E124" t="s">
        <v>7</v>
      </c>
    </row>
    <row r="125" spans="2:5" ht="15" customHeight="1">
      <c r="B125" s="224"/>
      <c r="C125" s="224"/>
      <c r="D125" s="242" t="s">
        <v>332</v>
      </c>
      <c r="E125" t="s">
        <v>7</v>
      </c>
    </row>
    <row r="126" spans="2:5" ht="15" customHeight="1">
      <c r="B126" s="224"/>
      <c r="C126" s="224"/>
      <c r="D126" s="242" t="s">
        <v>333</v>
      </c>
      <c r="E126" t="s">
        <v>7</v>
      </c>
    </row>
    <row r="127" spans="2:5" ht="15" customHeight="1">
      <c r="B127" s="224"/>
      <c r="C127" s="224"/>
      <c r="D127" s="242" t="s">
        <v>334</v>
      </c>
      <c r="E127" t="s">
        <v>7</v>
      </c>
    </row>
    <row r="128" spans="2:5" ht="15" customHeight="1">
      <c r="B128" s="224"/>
      <c r="C128" s="224"/>
      <c r="D128" s="242" t="s">
        <v>335</v>
      </c>
      <c r="E128" t="s">
        <v>7</v>
      </c>
    </row>
    <row r="129" spans="2:5" ht="15" customHeight="1">
      <c r="B129" s="224"/>
      <c r="C129" s="224"/>
      <c r="D129" s="232" t="s">
        <v>336</v>
      </c>
      <c r="E129" t="s">
        <v>7</v>
      </c>
    </row>
    <row r="130" spans="2:5" ht="15" customHeight="1">
      <c r="B130" s="224"/>
      <c r="C130" s="224"/>
      <c r="D130" s="309" t="s">
        <v>403</v>
      </c>
      <c r="E130" t="s">
        <v>7</v>
      </c>
    </row>
    <row r="131" spans="2:5" ht="15" customHeight="1">
      <c r="B131" s="224"/>
      <c r="C131" s="224"/>
      <c r="D131" s="309" t="s">
        <v>404</v>
      </c>
      <c r="E131" t="s">
        <v>7</v>
      </c>
    </row>
    <row r="132" spans="2:5" ht="15" customHeight="1">
      <c r="B132" s="224"/>
      <c r="C132" s="224"/>
      <c r="D132" s="309" t="s">
        <v>405</v>
      </c>
      <c r="E132" t="s">
        <v>7</v>
      </c>
    </row>
    <row r="133" spans="2:5" ht="15" customHeight="1">
      <c r="D133" s="309" t="s">
        <v>406</v>
      </c>
      <c r="E133" t="s">
        <v>7</v>
      </c>
    </row>
    <row r="134" spans="2:5" ht="15" customHeight="1">
      <c r="D134" s="309" t="s">
        <v>407</v>
      </c>
      <c r="E134" t="s">
        <v>7</v>
      </c>
    </row>
    <row r="135" spans="2:5" ht="15" customHeight="1">
      <c r="D135" s="309" t="s">
        <v>408</v>
      </c>
      <c r="E135" t="s">
        <v>7</v>
      </c>
    </row>
    <row r="136" spans="2:5" ht="15" customHeight="1">
      <c r="D136" s="309" t="s">
        <v>409</v>
      </c>
      <c r="E136" t="s">
        <v>7</v>
      </c>
    </row>
    <row r="137" spans="2:5" ht="15" customHeight="1">
      <c r="D137" s="309" t="s">
        <v>410</v>
      </c>
      <c r="E137" t="s">
        <v>7</v>
      </c>
    </row>
    <row r="138" spans="2:5" ht="15" customHeight="1">
      <c r="D138" s="261" t="s">
        <v>337</v>
      </c>
      <c r="E138" t="s">
        <v>7</v>
      </c>
    </row>
    <row r="139" spans="2:5" ht="15" customHeight="1">
      <c r="E139" t="s">
        <v>7</v>
      </c>
    </row>
    <row r="140" spans="2:5" ht="15" customHeight="1">
      <c r="E140" t="s">
        <v>7</v>
      </c>
    </row>
    <row r="141" spans="2:5" ht="15" customHeight="1">
      <c r="E141" t="s">
        <v>7</v>
      </c>
    </row>
  </sheetData>
  <mergeCells count="1">
    <mergeCell ref="O4:P4"/>
  </mergeCells>
  <hyperlinks>
    <hyperlink ref="D36" r:id="rId1" tooltip="Code du travail - art. L3132-24 (Ab)" display="https://www.legifrance.gouv.fr/affichCodeArticle.do?cidTexte=LEGITEXT000006072050&amp;idArticle=LEGIARTI000006902603&amp;dateTexte=&amp;categorieLien=cid"/>
    <hyperlink ref="D49"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Mon Entreprise</vt:lpstr>
      <vt:lpstr>Mes Aides</vt:lpstr>
      <vt:lpstr>Explications des Calculs</vt:lpstr>
      <vt:lpstr>Aides Compl "coûts fixes"</vt:lpstr>
      <vt:lpstr>Annexes</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2021-10-27T12:32:39Z</dcterms:modified>
</cp:coreProperties>
</file>